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Stavební rozpočet - součet" sheetId="2" r:id="rId2"/>
    <sheet name="Výkaz výměr" sheetId="3" r:id="rId3"/>
    <sheet name="Krycí list rozpočtu" sheetId="4" r:id="rId4"/>
  </sheets>
  <definedNames/>
  <calcPr fullCalcOnLoad="1"/>
</workbook>
</file>

<file path=xl/sharedStrings.xml><?xml version="1.0" encoding="utf-8"?>
<sst xmlns="http://schemas.openxmlformats.org/spreadsheetml/2006/main" count="2141" uniqueCount="658">
  <si>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</si>
  <si>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</si>
  <si>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</si>
  <si>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</si>
  <si>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</si>
  <si>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</si>
  <si>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</si>
  <si>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</si>
  <si>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</si>
  <si>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</si>
  <si>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</si>
  <si>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</si>
  <si>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</si>
  <si>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</si>
  <si>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</si>
  <si>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</si>
  <si>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</si>
  <si>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</si>
  <si>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</si>
  <si>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</si>
  <si>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</si>
  <si>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</si>
  <si>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</si>
  <si>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</si>
  <si>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</si>
  <si>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</si>
  <si>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</si>
  <si>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</si>
  <si>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</si>
  <si>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</si>
  <si>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</si>
  <si>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</si>
  <si>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</si>
  <si>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</si>
  <si>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</si>
  <si>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</si>
  <si>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</si>
  <si>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</si>
  <si>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</si>
  <si>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</si>
  <si>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</si>
  <si>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</si>
  <si>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</si>
  <si>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</si>
  <si>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</si>
  <si>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</si>
  <si>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</si>
  <si>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</si>
  <si>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</si>
  <si>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</si>
  <si>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</si>
  <si>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</si>
  <si>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</si>
  <si>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</si>
  <si>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</si>
  <si>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</si>
  <si>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</si>
  <si>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</si>
  <si>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</si>
  <si>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</si>
  <si>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</si>
  <si>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</si>
  <si>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</si>
  <si>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</si>
  <si>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</si>
  <si>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</si>
  <si>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</si>
  <si>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</si>
  <si>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</si>
  <si>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</si>
  <si>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</si>
  <si>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</si>
  <si>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</si>
  <si>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</si>
  <si>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</si>
  <si>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</si>
  <si>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</si>
  <si>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</si>
  <si>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</si>
  <si>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</si>
  <si>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</si>
  <si>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</si>
  <si>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</si>
  <si>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</si>
  <si>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</si>
  <si>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</si>
  <si>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</si>
  <si>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</si>
  <si>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</si>
  <si>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</si>
  <si>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</si>
  <si>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</si>
  <si>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</si>
  <si>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</si>
  <si>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</si>
  <si>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</si>
  <si>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</si>
  <si>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</si>
  <si>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</si>
  <si>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</si>
  <si>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</si>
  <si>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</si>
  <si>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</si>
  <si>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</si>
  <si>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</si>
  <si>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</si>
  <si>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</si>
  <si>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</si>
  <si>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</si>
  <si>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</si>
  <si>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</si>
  <si>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</si>
  <si>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</si>
  <si>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</si>
  <si>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</si>
  <si>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</si>
  <si>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</si>
  <si>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</si>
  <si>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</si>
  <si>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</si>
  <si>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</si>
  <si>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</si>
  <si>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</si>
  <si>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</si>
  <si>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Poznámka:</t>
  </si>
  <si>
    <t>Položkový rozpočet je zpracován v rozsahu dodané projektové dokumentace. Slouží investorovi pouze pro výběr zhotovitele stavby, nikoliv zhotoviteli pro závaznou smlouvu (objednávku) . V případě užití pro smlouvu je zhotovitel či dodavatel stavby povinen zkontrolovat komplexnost výkazu výměr vzhledem k projektové dokumentaci a případné rozdíly uvede pod čarou v rámci své nabídky.</t>
  </si>
  <si>
    <t>Objekt</t>
  </si>
  <si>
    <t>Kód</t>
  </si>
  <si>
    <t>0</t>
  </si>
  <si>
    <t>076972518R00</t>
  </si>
  <si>
    <t>311270010RA0</t>
  </si>
  <si>
    <t>317944311RT2</t>
  </si>
  <si>
    <t>317944313RT3</t>
  </si>
  <si>
    <t>310278841R00</t>
  </si>
  <si>
    <t>317351107R00</t>
  </si>
  <si>
    <t>317351108R00</t>
  </si>
  <si>
    <t>342256255RT1</t>
  </si>
  <si>
    <t>342256251RT1</t>
  </si>
  <si>
    <t>342256253RT1</t>
  </si>
  <si>
    <t>342264513RS1</t>
  </si>
  <si>
    <t>416021222R00</t>
  </si>
  <si>
    <t>612421637R00</t>
  </si>
  <si>
    <t>612409991RT2</t>
  </si>
  <si>
    <t>612421231RT2</t>
  </si>
  <si>
    <t>622311150RT3</t>
  </si>
  <si>
    <t>622311231RT5</t>
  </si>
  <si>
    <t>622311154RT5</t>
  </si>
  <si>
    <t>642942111RT3</t>
  </si>
  <si>
    <t>642942111RT4</t>
  </si>
  <si>
    <t>766662112R00</t>
  </si>
  <si>
    <t>61164959</t>
  </si>
  <si>
    <t>61164960</t>
  </si>
  <si>
    <t>642941111RT3</t>
  </si>
  <si>
    <t>642941111RT2</t>
  </si>
  <si>
    <t>642941110R00</t>
  </si>
  <si>
    <t>61164237</t>
  </si>
  <si>
    <t>766666112R00</t>
  </si>
  <si>
    <t>765331862R00</t>
  </si>
  <si>
    <t>641940090RA0</t>
  </si>
  <si>
    <t>766601211RT2</t>
  </si>
  <si>
    <t>641952211R00</t>
  </si>
  <si>
    <t>766627353R00</t>
  </si>
  <si>
    <t>998011003R00</t>
  </si>
  <si>
    <t>721</t>
  </si>
  <si>
    <t>7210000000VD</t>
  </si>
  <si>
    <t>998721103R00</t>
  </si>
  <si>
    <t>722</t>
  </si>
  <si>
    <t>7220000000VD</t>
  </si>
  <si>
    <t>998722103R00</t>
  </si>
  <si>
    <t>725</t>
  </si>
  <si>
    <t>725210821R00</t>
  </si>
  <si>
    <t>725122816R00</t>
  </si>
  <si>
    <t>725330820R00</t>
  </si>
  <si>
    <t>61529073</t>
  </si>
  <si>
    <t>785411132R00</t>
  </si>
  <si>
    <t>615290086</t>
  </si>
  <si>
    <t>220260387R00</t>
  </si>
  <si>
    <t>725291146R00</t>
  </si>
  <si>
    <t>725291141R00</t>
  </si>
  <si>
    <t>725291123R00</t>
  </si>
  <si>
    <t>998725103R00</t>
  </si>
  <si>
    <t>728</t>
  </si>
  <si>
    <t>7280000000VD</t>
  </si>
  <si>
    <t>735</t>
  </si>
  <si>
    <t>7350000000VD</t>
  </si>
  <si>
    <t>998735103R00</t>
  </si>
  <si>
    <t>764</t>
  </si>
  <si>
    <t>764510491R00</t>
  </si>
  <si>
    <t>55342212</t>
  </si>
  <si>
    <t>998764103R00</t>
  </si>
  <si>
    <t>766</t>
  </si>
  <si>
    <t>766812830R00</t>
  </si>
  <si>
    <t>766812215R00</t>
  </si>
  <si>
    <t>61581624.A</t>
  </si>
  <si>
    <t>61581623.A</t>
  </si>
  <si>
    <t>61581622.A</t>
  </si>
  <si>
    <t>766416111R00</t>
  </si>
  <si>
    <t>766411821R00</t>
  </si>
  <si>
    <t>766416121R00</t>
  </si>
  <si>
    <t>998766103R00</t>
  </si>
  <si>
    <t>767</t>
  </si>
  <si>
    <t>767996801R00</t>
  </si>
  <si>
    <t>998767103R00</t>
  </si>
  <si>
    <t>771</t>
  </si>
  <si>
    <t>771101210RT2</t>
  </si>
  <si>
    <t>771575107RZ1</t>
  </si>
  <si>
    <t>59764207</t>
  </si>
  <si>
    <t>771479001R00</t>
  </si>
  <si>
    <t>632441121R00</t>
  </si>
  <si>
    <t>998771103R00</t>
  </si>
  <si>
    <t>776</t>
  </si>
  <si>
    <t>776561110RT1</t>
  </si>
  <si>
    <t>28410153</t>
  </si>
  <si>
    <t>776981114RT1</t>
  </si>
  <si>
    <t>998776103R00</t>
  </si>
  <si>
    <t>781</t>
  </si>
  <si>
    <t>781101210RT2</t>
  </si>
  <si>
    <t>781415016RU1</t>
  </si>
  <si>
    <t>597813746</t>
  </si>
  <si>
    <t>597813747</t>
  </si>
  <si>
    <t>597813748</t>
  </si>
  <si>
    <t>597813749</t>
  </si>
  <si>
    <t>781670014RAB</t>
  </si>
  <si>
    <t>998781103R00</t>
  </si>
  <si>
    <t>784</t>
  </si>
  <si>
    <t>784195212R00</t>
  </si>
  <si>
    <t>784402801R00</t>
  </si>
  <si>
    <t>962031132R00</t>
  </si>
  <si>
    <t>962032231R00</t>
  </si>
  <si>
    <t>965100032RAB</t>
  </si>
  <si>
    <t>968062354R00</t>
  </si>
  <si>
    <t>968062456R00</t>
  </si>
  <si>
    <t>968092001R00</t>
  </si>
  <si>
    <t>979012212R00</t>
  </si>
  <si>
    <t>979012219R00</t>
  </si>
  <si>
    <t>978059531R00</t>
  </si>
  <si>
    <t>973041511R00</t>
  </si>
  <si>
    <t>971033581R00</t>
  </si>
  <si>
    <t>971033561R00</t>
  </si>
  <si>
    <t>971033541R00</t>
  </si>
  <si>
    <t>M21</t>
  </si>
  <si>
    <t>2100000000VD</t>
  </si>
  <si>
    <t>M33</t>
  </si>
  <si>
    <t>330530206R00</t>
  </si>
  <si>
    <t>330530209R00</t>
  </si>
  <si>
    <t>330030100RAD</t>
  </si>
  <si>
    <t>331030329R00</t>
  </si>
  <si>
    <t>S</t>
  </si>
  <si>
    <t>979087212R00</t>
  </si>
  <si>
    <t>979081111R00</t>
  </si>
  <si>
    <t>979081121R00</t>
  </si>
  <si>
    <t>979082111R00</t>
  </si>
  <si>
    <t>979093111R00</t>
  </si>
  <si>
    <t>979990001R00</t>
  </si>
  <si>
    <t>Rekonstrukce sociálního zařízení Celního úřadu</t>
  </si>
  <si>
    <t>sociální zařízemí,výtah,schodišťové plošiny</t>
  </si>
  <si>
    <t>Washingtonova 11, Praha 1</t>
  </si>
  <si>
    <t>Zkrácený popis / Varianta</t>
  </si>
  <si>
    <t>Rozměry</t>
  </si>
  <si>
    <t>Všeobecné konstrukce a práce</t>
  </si>
  <si>
    <t>Demontáž  zábradlí</t>
  </si>
  <si>
    <t>Zdi podpěrné a volné</t>
  </si>
  <si>
    <t>Zdivo z tvárnic porobetonových, tloušťka 30 cm</t>
  </si>
  <si>
    <t>Zdivo z tvárnic porobetonových, tloušťka 45 cm</t>
  </si>
  <si>
    <t>Válcované nosníky do č.12 osazené do otvorů  I 100</t>
  </si>
  <si>
    <t>včetně dodávky profilu I č.10</t>
  </si>
  <si>
    <t>Válcované nosníky č.14-22 osazené do otvorů I 160</t>
  </si>
  <si>
    <t>včetně dodávky profilu  I č.16</t>
  </si>
  <si>
    <t>Zazdívka otvorů pl.do 1 m2 tvárnicemi, tl.zdí 3Ocm</t>
  </si>
  <si>
    <t>Bednění překladů - zřízení</t>
  </si>
  <si>
    <t>Bednění překladů - odstranění</t>
  </si>
  <si>
    <t>Stěny a příčky</t>
  </si>
  <si>
    <t>Příčka z tvárnic porobetonových PORFIX tl. 150 mm</t>
  </si>
  <si>
    <t>P2-480, 500x250x150 mm</t>
  </si>
  <si>
    <t>Příčka z tvárnic porobetonových PORFIX tl.  50 mm</t>
  </si>
  <si>
    <t>P2-480, 500x250x50 mm</t>
  </si>
  <si>
    <t>Příčka z tvárnic porobetonových PORFIX tl. 100 mm</t>
  </si>
  <si>
    <t>P2-480, 500x250x100 mm</t>
  </si>
  <si>
    <t>Revizní dvířka Promat do SDK podhledu, 300x300 mm</t>
  </si>
  <si>
    <t>typ SP, požární odolnost EW 30</t>
  </si>
  <si>
    <t>Revizní dvířka Promat do SDK podhledu, 200x200 mm</t>
  </si>
  <si>
    <t>Stropy a stropní konstrukce (pro pozemní stavby)</t>
  </si>
  <si>
    <t>Podhledy SDK- doplnění</t>
  </si>
  <si>
    <t>Úprava povrchů vnitřní</t>
  </si>
  <si>
    <t>Omítka vnitřní zdiva, MVC, štuková</t>
  </si>
  <si>
    <t>Začištění omítek kolem oken</t>
  </si>
  <si>
    <t>s použitím suché maltové směsi</t>
  </si>
  <si>
    <t>Oprava vápen.omítek stěn do 10 % pl. - štukových</t>
  </si>
  <si>
    <t>Úprava povrchů vnější</t>
  </si>
  <si>
    <t>Baumit, povrchová úprava ostění KZS s EPS oken</t>
  </si>
  <si>
    <t>s omítkou SilikonTop 3,2 kg/m2, lepidlo ProContact</t>
  </si>
  <si>
    <t>Zateplovací systém Baumit,ostění, EPS Open, 80 mm</t>
  </si>
  <si>
    <t>s omítkou NanoporTop 3,2 kg/m2</t>
  </si>
  <si>
    <t>Zateplovací systém Baumit, ostění, EPS F tl.50 mm</t>
  </si>
  <si>
    <t>s omítkou NanoporTop 3,2 kg/m2, lepidlo ProContact</t>
  </si>
  <si>
    <t>Výplně otvorů</t>
  </si>
  <si>
    <t>Osazení zárubní dveřních ocelových, pl. do 2,5 m2 70/197</t>
  </si>
  <si>
    <t>včetně dodávky zárubně  70 x 197 x 11 cm</t>
  </si>
  <si>
    <t>Osazení zárubní dveřních ocelových, pl. do 2,5 m2 80/197</t>
  </si>
  <si>
    <t>včetně dodávky zárubně  80 x 197 x 11 cm</t>
  </si>
  <si>
    <t>Montáž dveří do rám.zárubně 1kříd. š.do 80 cm</t>
  </si>
  <si>
    <t>Dveře vnitř. lamino 1kř. plné  ESTER 70x197</t>
  </si>
  <si>
    <t>Dveře vnitř. lamino 1kř. plné  ESTER 80x197</t>
  </si>
  <si>
    <t>Pouzdro pro posuvné dveře jednostranné, do zdiva 80/197</t>
  </si>
  <si>
    <t>jednostranné pouzdro 800/1970 mm</t>
  </si>
  <si>
    <t>Pouzdro pro posuvné dveře jednostranné, do zdiva 70/197</t>
  </si>
  <si>
    <t>jednostranné pouzdro 700/1970 mm</t>
  </si>
  <si>
    <t>Osazení pouzdra pro posuv.dveře jednostr.,do zdiva</t>
  </si>
  <si>
    <t>Dveře vnitřní profil. plné posuvné.800*1970</t>
  </si>
  <si>
    <t>Dveře vnitřní profil. plné posuvné.700/1970</t>
  </si>
  <si>
    <t>Montáž dveří posuvných, osazení závěsu, 1kř.</t>
  </si>
  <si>
    <t>Větrací mřížka   do dveří 400x80</t>
  </si>
  <si>
    <t>Montáž oken dřevěných plochy do 0,81m2</t>
  </si>
  <si>
    <t>Těsnění okenní spáry, ostění, PT fólie+ PP páska</t>
  </si>
  <si>
    <t>folie š.100 mm, páska tl. 6 mm, š. 15 mm</t>
  </si>
  <si>
    <t>Osazení rámů okenních dřevěných, plocha do 2,5 m2</t>
  </si>
  <si>
    <t>Okna dřevěná, 1kř.do 2,1 m2</t>
  </si>
  <si>
    <t>Přesun hmot pro budovy zděné výšky do 24 m</t>
  </si>
  <si>
    <t>Vnitřní kanalizace</t>
  </si>
  <si>
    <t>Přesun hmot pro vnitřní kanalizaci, výšky do 24 m</t>
  </si>
  <si>
    <t>Vnitřní vodovod</t>
  </si>
  <si>
    <t>Přesun hmot pro vnitřní vodovod, výšky do 24 m</t>
  </si>
  <si>
    <t>Zařizovací předměty</t>
  </si>
  <si>
    <t>Demontáž umyvadel</t>
  </si>
  <si>
    <t>Demontáž pisoárů s nádrží + 4 záchodky</t>
  </si>
  <si>
    <t>Demontáž výlevky</t>
  </si>
  <si>
    <t>Zrcadlo NOVA bílý lesk</t>
  </si>
  <si>
    <t>Lepení zrcadel na stěnu do v. 3,8m</t>
  </si>
  <si>
    <t xml:space="preserve"> umyvadlový pult</t>
  </si>
  <si>
    <t>Montáž umyvadlového  pultu</t>
  </si>
  <si>
    <t>Madlo dvojité sklopné nerez Novaservis dl. 813 mm</t>
  </si>
  <si>
    <t>Madlo dvojité pevné nerez Novaservis dl. 900 mm</t>
  </si>
  <si>
    <t>Madlo svislé nerez Novaservis dl. 500 mm</t>
  </si>
  <si>
    <t>Přesun hmot pro zařizovací předměty, výšky do 24 m</t>
  </si>
  <si>
    <t>Vzduchotechnika</t>
  </si>
  <si>
    <t>rozsah dle přílohy  vzduchotechnika</t>
  </si>
  <si>
    <t>Vytápění</t>
  </si>
  <si>
    <t>Vytápění v rozsahu dle projektu</t>
  </si>
  <si>
    <t>Přesun hmot pro otopná tělesa, výšky do 24 m</t>
  </si>
  <si>
    <t>Konstrukce klempířské</t>
  </si>
  <si>
    <t>Montáž oplechování parapetů Ti Zn</t>
  </si>
  <si>
    <t>Parapet vnější ohýbaný pozink tl. 0,75mm</t>
  </si>
  <si>
    <t>Přesun hmot pro klempířské konstr., výšky do 24 m</t>
  </si>
  <si>
    <t>Konstrukce truhlářské</t>
  </si>
  <si>
    <t>Demontáž kuchyňských linek do 1,8 m</t>
  </si>
  <si>
    <t>Montáž kuchyňských linek dřev  š.do 2,4 m</t>
  </si>
  <si>
    <t>Linka kuchyňská 230/60 odhad</t>
  </si>
  <si>
    <t>Linka kuchyňská 215/60 odhad</t>
  </si>
  <si>
    <t>Linka kuchyňská 200/60 odhad</t>
  </si>
  <si>
    <t>Obložení stěn deskami z aglomerov.dřeva- doplnění</t>
  </si>
  <si>
    <t>bez materiálu</t>
  </si>
  <si>
    <t>Demontáž obložení stěn -dřevěných obkladů - doplnění</t>
  </si>
  <si>
    <t>Obložení stěn deskami z aglomer. dřeva- doplnění</t>
  </si>
  <si>
    <t>Přesun hmot pro truhlářské konstr., výšky do 24 m</t>
  </si>
  <si>
    <t>Konstrukce doplňkové stavební (zámečnické)</t>
  </si>
  <si>
    <t>Demontáž atypických ocelových konstr. do 50 kg- doplnění</t>
  </si>
  <si>
    <t>Přesun hmot pro zámečnické konstr., výšky do 24 m</t>
  </si>
  <si>
    <t>Podlahy z dlaždic</t>
  </si>
  <si>
    <t>Penetrace podkladu pod dlažby</t>
  </si>
  <si>
    <t>penetrační nátěr ASO-Unigrund K</t>
  </si>
  <si>
    <t>Montáž podlah keram. , tmel</t>
  </si>
  <si>
    <t>Dlažba Taurus 450x450</t>
  </si>
  <si>
    <t>Řezání dlaždic keramických odhad</t>
  </si>
  <si>
    <t>Potěr Anhyment AE 20, plocha do 500 m2, tl. 35 mm</t>
  </si>
  <si>
    <t>Přesun hmot pro podlahy z dlaždic, výšky do 24 m</t>
  </si>
  <si>
    <t>Podlahy povlakové</t>
  </si>
  <si>
    <t>Položení volné  podlah, linoleum nebo imitace</t>
  </si>
  <si>
    <t>pouze položení - lino ve specifikaci</t>
  </si>
  <si>
    <t>Linoleum Marmorette PUR</t>
  </si>
  <si>
    <t>Lišta hliníková podlahová krycí- doplnění</t>
  </si>
  <si>
    <t>Přesun hmot pro podlahy povlakové, výšky do 24 m</t>
  </si>
  <si>
    <t>Obklady (keramické)</t>
  </si>
  <si>
    <t>Penetrace podkladu pod obklady</t>
  </si>
  <si>
    <t>Montáž obkladů stěn, porovin.,tmel,25x45cm</t>
  </si>
  <si>
    <t>Ardex FB 9 L (flex.lepidlo), Ardex FL (spár.hmota)</t>
  </si>
  <si>
    <t>Obkládačka Color One béžová</t>
  </si>
  <si>
    <t>Obkládačka Color One bílá</t>
  </si>
  <si>
    <t>Obkládačka Color One žlutá</t>
  </si>
  <si>
    <t>Obkládačka Color One tyrkysová</t>
  </si>
  <si>
    <t>Obklad parapetu keramický šířka 20 cm</t>
  </si>
  <si>
    <t>do malty, obklad ve specifikaci</t>
  </si>
  <si>
    <t>Přesun hmot pro obklady keramické, výšky do 24 m</t>
  </si>
  <si>
    <t>Malby</t>
  </si>
  <si>
    <t>Malba tekutá Primalex Plus, bílá, 2 x</t>
  </si>
  <si>
    <t>Odstranění malby oškrábáním v místnosti H do 3,8 m</t>
  </si>
  <si>
    <t>místnosti 3.03,4.03 a 5.03</t>
  </si>
  <si>
    <t>Bourání konstrukcí</t>
  </si>
  <si>
    <t>Bourání příček cihelných tl. 10 cm</t>
  </si>
  <si>
    <t>Bourání zdiva z cihel pálených na MVC tl.300,  výtah</t>
  </si>
  <si>
    <t>Bourání dlažeb keramických</t>
  </si>
  <si>
    <t>bez podkladních vrstev</t>
  </si>
  <si>
    <t>Vybourání dřevěných rámů oken   pl. 1 m2</t>
  </si>
  <si>
    <t>Vybourání   dveřních zárubní pl. nad 2 m2</t>
  </si>
  <si>
    <t>Bourání parapetů  š. do 30 cm</t>
  </si>
  <si>
    <t>Svislá doprava suti a vybour. hmot na H do 4 m</t>
  </si>
  <si>
    <t>Příplatek k suti za každých dalších 4 m výšky</t>
  </si>
  <si>
    <t>Prorážení otvorů a ostatní bourací práce</t>
  </si>
  <si>
    <t>Odsekání vnitřních obkladů stěn nad 2 m2</t>
  </si>
  <si>
    <t>Vysekání  beton. podlahy pro zvedací plošinu</t>
  </si>
  <si>
    <t>Vybourání otv. zeď cihel. , tl.75 cm, MVC</t>
  </si>
  <si>
    <t>Vybourání otv. zeď cihel. , tl.60 cm, MVC</t>
  </si>
  <si>
    <t>Vybourání otv. zeď cihel. pl.1 m2, tl.45 cm, MVC</t>
  </si>
  <si>
    <t>Elektromontáže</t>
  </si>
  <si>
    <t>Elektroinstalace</t>
  </si>
  <si>
    <t>souhrná položka elektroinstalace dle přiloženého rozpočtu elektro</t>
  </si>
  <si>
    <t>Montáže dopravních zařízení a vah</t>
  </si>
  <si>
    <t>Demontáž výtahového stroje do nosnosti 1600 kg</t>
  </si>
  <si>
    <t>Montaž výtahového stroje do nosnosti 1600 kg</t>
  </si>
  <si>
    <t>příslušenství neuvedené v části pložky výtah související s montáží</t>
  </si>
  <si>
    <t>Výtah osobní lanový 1,4x1,6</t>
  </si>
  <si>
    <t>7 stanic,7nástupišť</t>
  </si>
  <si>
    <t>Zvedaci plosina pro osoby inval zp1 schodišťoví LOGIC</t>
  </si>
  <si>
    <t>Zvedaci plosina pro osoby inval nůžková,nerez provedení</t>
  </si>
  <si>
    <t>nerez provedení</t>
  </si>
  <si>
    <t>Přesuny sutí</t>
  </si>
  <si>
    <t>Nakládání suti na dopravní prostředky</t>
  </si>
  <si>
    <t>Odvoz suti a vybour. hmot na skládku do 1 km</t>
  </si>
  <si>
    <t>Příplatek k odvozu za každý další 1 km</t>
  </si>
  <si>
    <t>Vnitrostaveništní doprava suti do 10 m</t>
  </si>
  <si>
    <t>Uložení suti na skládku bez zhutnění</t>
  </si>
  <si>
    <t>Poplatek za skládku stavební suti</t>
  </si>
  <si>
    <t>Doba výstavby:</t>
  </si>
  <si>
    <t>Začátek výstavby:</t>
  </si>
  <si>
    <t>Konec výstavby:</t>
  </si>
  <si>
    <t>Zpracováno dne:</t>
  </si>
  <si>
    <t>M.j.</t>
  </si>
  <si>
    <t>m</t>
  </si>
  <si>
    <t>m3</t>
  </si>
  <si>
    <t>t</t>
  </si>
  <si>
    <t>m2</t>
  </si>
  <si>
    <t>kus</t>
  </si>
  <si>
    <t>kpl</t>
  </si>
  <si>
    <t>soubor</t>
  </si>
  <si>
    <t>kg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</si>
  <si>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</si>
  <si>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</si>
  <si>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</si>
  <si>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</si>
  <si>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</si>
  <si>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</si>
  <si>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</si>
  <si>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</si>
  <si>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</si>
  <si>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</si>
  <si>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</si>
  <si>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</si>
  <si>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</si>
  <si>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Cenová</t>
  </si>
  <si>
    <t>soustava</t>
  </si>
  <si>
    <t>RTS I / 2014</t>
  </si>
  <si>
    <t>RTS II / 2016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</si>
  <si>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</si>
  <si>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</si>
  <si>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</si>
  <si>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</si>
  <si>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</si>
  <si>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</si>
  <si>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</si>
  <si>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</si>
  <si>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</si>
  <si>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0_</t>
  </si>
  <si>
    <t>31_</t>
  </si>
  <si>
    <t>34_</t>
  </si>
  <si>
    <t>41_</t>
  </si>
  <si>
    <t>61_</t>
  </si>
  <si>
    <t>62_</t>
  </si>
  <si>
    <t>64_</t>
  </si>
  <si>
    <t>721_</t>
  </si>
  <si>
    <t>722_</t>
  </si>
  <si>
    <t>725_</t>
  </si>
  <si>
    <t>728_</t>
  </si>
  <si>
    <t>735_</t>
  </si>
  <si>
    <t>764_</t>
  </si>
  <si>
    <t>766_</t>
  </si>
  <si>
    <t>767_</t>
  </si>
  <si>
    <t>771_</t>
  </si>
  <si>
    <t>776_</t>
  </si>
  <si>
    <t>781_</t>
  </si>
  <si>
    <t>784_</t>
  </si>
  <si>
    <t>96_</t>
  </si>
  <si>
    <t>97_</t>
  </si>
  <si>
    <t>M21_</t>
  </si>
  <si>
    <t>M33_</t>
  </si>
  <si>
    <t>S_</t>
  </si>
  <si>
    <t>3_</t>
  </si>
  <si>
    <t>4_</t>
  </si>
  <si>
    <t>6_</t>
  </si>
  <si>
    <t>72_</t>
  </si>
  <si>
    <t>73_</t>
  </si>
  <si>
    <t>76_</t>
  </si>
  <si>
    <t>77_</t>
  </si>
  <si>
    <t>78_</t>
  </si>
  <si>
    <t>9_</t>
  </si>
  <si>
    <t>_</t>
  </si>
  <si>
    <t>Slepý stavební rozpočet - rekapitulace</t>
  </si>
  <si>
    <t>Zkrácený popis</t>
  </si>
  <si>
    <t>Náklady (Kč) - dodávka</t>
  </si>
  <si>
    <t>Náklady (Kč) - Montáž</t>
  </si>
  <si>
    <t>Náklady (Kč) - celkem</t>
  </si>
  <si>
    <t>Celková hmotnost (t)</t>
  </si>
  <si>
    <t>T</t>
  </si>
  <si>
    <t>Výkaz výměr</t>
  </si>
  <si>
    <t>118</t>
  </si>
  <si>
    <t>119</t>
  </si>
  <si>
    <t>1,2</t>
  </si>
  <si>
    <t>(3,4+1,7+0,9+3,81+1,37+0,9+1,37+0,9+0,25+3,9+0,9)*0,3</t>
  </si>
  <si>
    <t>(0,68+1,94)*0,45</t>
  </si>
  <si>
    <t>(7,08+27,2+7,8+2,6+6,6+8,9)*8,34/1000</t>
  </si>
  <si>
    <t>22,2*17,9/1000</t>
  </si>
  <si>
    <t>8,5</t>
  </si>
  <si>
    <t>((2*1,77)+(2*1,85)*6+(2*1,7)*2+(2*1,5)*2+(2*2,25)+(2*0,65)+(2*1,65))*0,25</t>
  </si>
  <si>
    <t>42,9-((0,8*1,97)+(0,7*1,97))</t>
  </si>
  <si>
    <t>25,91</t>
  </si>
  <si>
    <t>28,3+24,4+24,7+19,6</t>
  </si>
  <si>
    <t>4,88   3% ztratné</t>
  </si>
  <si>
    <t>10,9+8,1+5,4+4,2</t>
  </si>
  <si>
    <t>0,9   3% ztratné</t>
  </si>
  <si>
    <t>51,7-8,9</t>
  </si>
  <si>
    <t>76,51</t>
  </si>
  <si>
    <t>82,78</t>
  </si>
  <si>
    <t>69,24</t>
  </si>
  <si>
    <t>69,3</t>
  </si>
  <si>
    <t>161,33</t>
  </si>
  <si>
    <t>238,94+236,43+29,7+212,88+207,3+206,36+201,12</t>
  </si>
  <si>
    <t>0,5+0,5+1,25+1,25</t>
  </si>
  <si>
    <t>13,085*5</t>
  </si>
  <si>
    <t>0,55+0,45+1,25+1,25+0,55+0,45</t>
  </si>
  <si>
    <t>0,45+0,45+1,25+1,25</t>
  </si>
  <si>
    <t>(0,1+0,1+1,25+1,25)*2</t>
  </si>
  <si>
    <t>(0,45+0,5+0,55)*2+1,25+1,25</t>
  </si>
  <si>
    <t>((0,45+1,225)*2)*0,3*15   15ks</t>
  </si>
  <si>
    <t>(0,45+1,225+1,225)*0,3*15</t>
  </si>
  <si>
    <t>0,45*0,3*15</t>
  </si>
  <si>
    <t>23+29</t>
  </si>
  <si>
    <t>16+2</t>
  </si>
  <si>
    <t>((0,4+0,08)*2)*70   70ks dveří</t>
  </si>
  <si>
    <t>15   15x 45/122,5</t>
  </si>
  <si>
    <t>((0,45+1,225)*2)*15   15ks oken 45/122,5</t>
  </si>
  <si>
    <t>1   ZTP</t>
  </si>
  <si>
    <t>;ztratné 0%; 0</t>
  </si>
  <si>
    <t>1,67*2+1,6*5+1,55*4+1,45+1,4</t>
  </si>
  <si>
    <t>0,6*1   ZTP</t>
  </si>
  <si>
    <t>0,45*15</t>
  </si>
  <si>
    <t>0,45*15   15ks oken</t>
  </si>
  <si>
    <t>;ztratné 2%; 0,135</t>
  </si>
  <si>
    <t>5,4</t>
  </si>
  <si>
    <t>8,4</t>
  </si>
  <si>
    <t>26,51+30,9+25,93+27,81+28,57+27,19</t>
  </si>
  <si>
    <t>166,91</t>
  </si>
  <si>
    <t>;ztratné 3%; 5,0073</t>
  </si>
  <si>
    <t>166,91   pod dlažbu</t>
  </si>
  <si>
    <t>5,8+7,17+6,33+6,09   podlah pod PVC</t>
  </si>
  <si>
    <t>5,8+7,17+6,33+6,09</t>
  </si>
  <si>
    <t>25,39</t>
  </si>
  <si>
    <t>;ztratné 3%; 0,7617</t>
  </si>
  <si>
    <t>0,8*(6+3+3*4+5)</t>
  </si>
  <si>
    <t>45,74+28,58+4,58+3,91</t>
  </si>
  <si>
    <t>50,83+34,29+7,09+3,18</t>
  </si>
  <si>
    <t>34,92+26,4+4,86+3,3</t>
  </si>
  <si>
    <t>34,41+25,75+4,86+3,16</t>
  </si>
  <si>
    <t>35,71+27,21+4,86+3,48</t>
  </si>
  <si>
    <t>34,67+29,56+4,93+3,15</t>
  </si>
  <si>
    <t>459,43</t>
  </si>
  <si>
    <t>243,37</t>
  </si>
  <si>
    <t>177,11</t>
  </si>
  <si>
    <t>(0,45+0,41+0,41)*0,2*15   parapet 15ks oken</t>
  </si>
  <si>
    <t>4,58+7,09+4,86+4,86+4,86+4,93</t>
  </si>
  <si>
    <t>;ztratné 3%; 0,9354</t>
  </si>
  <si>
    <t>(0,45+0,41+0,41)*15</t>
  </si>
  <si>
    <t>161,33   SDK podhledy</t>
  </si>
  <si>
    <t>3,61+2,48+6,33+7,17+5,8+5,77+27,24   stávající stropy</t>
  </si>
  <si>
    <t>238,94+236,43+29,7+212,88+207,3+206,36+201,12   stěny</t>
  </si>
  <si>
    <t>37,65+35,8+30,69   3.03,4.03,5.03</t>
  </si>
  <si>
    <t>5,8+7,17+6,33   stropy 3.03.,4.03,5.03</t>
  </si>
  <si>
    <t>25,64+17,64+7,8+7,2+40,3   1.np</t>
  </si>
  <si>
    <t>33,2+9,8+55,4   2.np</t>
  </si>
  <si>
    <t>60,4+9,5+40   3.np</t>
  </si>
  <si>
    <t>69,7+46,2   4.np</t>
  </si>
  <si>
    <t>61,7+41,7   5.np</t>
  </si>
  <si>
    <t>42,5+40,4   6.np</t>
  </si>
  <si>
    <t>(3,89-1,98)*0,3   1.pp</t>
  </si>
  <si>
    <t>(4,64-2,09)*0,3   1.np</t>
  </si>
  <si>
    <t>(4-2,09)*0,3   2.np</t>
  </si>
  <si>
    <t>(3,9-2,09)*0,3   3.np</t>
  </si>
  <si>
    <t>(3,94-2,09)*0,3   4.np</t>
  </si>
  <si>
    <t>(4-2,09)*0,3   5.np</t>
  </si>
  <si>
    <t>(4-2,09)*0,3   6.np</t>
  </si>
  <si>
    <t>26,72   1,np</t>
  </si>
  <si>
    <t>33,57   2.np</t>
  </si>
  <si>
    <t>33,58   3.np</t>
  </si>
  <si>
    <t>36,7   4.np</t>
  </si>
  <si>
    <t>36,79   5.np</t>
  </si>
  <si>
    <t>27,99   6.np</t>
  </si>
  <si>
    <t>(0,9+1,17+0,9+1,17)**2*7*0,15   90/117 7ks</t>
  </si>
  <si>
    <t>(1,2+1,2+1,17+1,17)*2*0,15   120/117 1ks</t>
  </si>
  <si>
    <t>27*(0,6+0,6+1,97+1,97)*0,3   27 ks 60/197</t>
  </si>
  <si>
    <t>33*(0,8+0,8+1,97+1,97)*0,3   33ks 80/197</t>
  </si>
  <si>
    <t>(1,55+1,55+2,1+2,1)*0,3   1ks 155/210</t>
  </si>
  <si>
    <t>(1,37+1,37+2,1+2,1)*0,3*3   3 ks 137/210</t>
  </si>
  <si>
    <t>(1,4+1,4+2,1+2,1)*0,3   1 ks 140/210</t>
  </si>
  <si>
    <t>7*0,9+1,2</t>
  </si>
  <si>
    <t>107,7576*5</t>
  </si>
  <si>
    <t>22+17+21+21+15+20,5</t>
  </si>
  <si>
    <t>1,15*2,185*0,1</t>
  </si>
  <si>
    <t>0,5*1,25*0,75</t>
  </si>
  <si>
    <t>107,7576</t>
  </si>
  <si>
    <t>(0,55+0,45)*1,25*0,6   2.np</t>
  </si>
  <si>
    <t>0,45*1,25*0,6   3.np</t>
  </si>
  <si>
    <t>0,1*1,25*0,6   4.np</t>
  </si>
  <si>
    <t>0,1*1,25*0,6   5.np</t>
  </si>
  <si>
    <t>(0,45+0,5+0,55)*1,25*0,45   6.np</t>
  </si>
  <si>
    <t>107,76+13,085</t>
  </si>
  <si>
    <t>(107,76+13,085)*5   do 5km</t>
  </si>
  <si>
    <t>Cenová soustava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</si>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</sst>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sz val="10"/>
      <color indexed="59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25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6" xfId="0" applyNumberFormat="1" applyFont="1" applyFill="1" applyBorder="1" applyAlignment="1" applyProtection="1">
      <alignment horizontal="left" vertical="center"/>
      <protection/>
    </xf>
    <xf numFmtId="49" fontId="4" fillId="2" borderId="7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2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0" fontId="1" fillId="0" borderId="8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8" fillId="2" borderId="7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8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8" fillId="2" borderId="7" xfId="0" applyNumberFormat="1" applyFont="1" applyFill="1" applyBorder="1" applyAlignment="1" applyProtection="1">
      <alignment horizontal="left" vertical="center"/>
      <protection/>
    </xf>
    <xf numFmtId="0" fontId="8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8" xfId="0" applyNumberFormat="1" applyFont="1" applyFill="1" applyBorder="1" applyAlignment="1" applyProtection="1">
      <alignment horizontal="left" vertical="center"/>
      <protection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8" fillId="2" borderId="7" xfId="0" applyNumberFormat="1" applyFont="1" applyFill="1" applyBorder="1" applyAlignment="1" applyProtection="1">
      <alignment horizontal="right" vertical="center"/>
      <protection/>
    </xf>
    <xf numFmtId="49" fontId="8" fillId="2" borderId="0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2" borderId="7" xfId="0" applyNumberFormat="1" applyFont="1" applyFill="1" applyBorder="1" applyAlignment="1" applyProtection="1">
      <alignment horizontal="right" vertical="center"/>
      <protection/>
    </xf>
    <xf numFmtId="4" fontId="8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8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7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right" vertical="center"/>
      <protection/>
    </xf>
    <xf numFmtId="4" fontId="5" fillId="0" borderId="7" xfId="0" applyNumberFormat="1" applyFont="1" applyFill="1" applyBorder="1" applyAlignment="1" applyProtection="1">
      <alignment horizontal="right" vertical="center"/>
      <protection/>
    </xf>
    <xf numFmtId="49" fontId="5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49" fontId="10" fillId="0" borderId="30" xfId="0" applyNumberFormat="1" applyFont="1" applyFill="1" applyBorder="1" applyAlignment="1" applyProtection="1">
      <alignment horizontal="center" vertical="center"/>
      <protection/>
    </xf>
    <xf numFmtId="49" fontId="11" fillId="3" borderId="31" xfId="0" applyNumberFormat="1" applyFont="1" applyFill="1" applyBorder="1" applyAlignment="1" applyProtection="1">
      <alignment horizontal="center" vertical="center"/>
      <protection/>
    </xf>
    <xf numFmtId="49" fontId="12" fillId="0" borderId="32" xfId="0" applyNumberFormat="1" applyFont="1" applyFill="1" applyBorder="1" applyAlignment="1" applyProtection="1">
      <alignment horizontal="left" vertical="center"/>
      <protection/>
    </xf>
    <xf numFmtId="49" fontId="12" fillId="0" borderId="33" xfId="0" applyNumberFormat="1" applyFont="1" applyFill="1" applyBorder="1" applyAlignment="1" applyProtection="1">
      <alignment horizontal="left" vertical="center"/>
      <protection/>
    </xf>
    <xf numFmtId="49" fontId="12" fillId="0" borderId="34" xfId="0" applyNumberFormat="1" applyFont="1" applyFill="1" applyBorder="1" applyAlignment="1" applyProtection="1">
      <alignment horizontal="left" vertical="center"/>
      <protection/>
    </xf>
    <xf numFmtId="49" fontId="12" fillId="3" borderId="34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9" fontId="13" fillId="0" borderId="36" xfId="0" applyNumberFormat="1" applyFont="1" applyFill="1" applyBorder="1" applyAlignment="1" applyProtection="1">
      <alignment horizontal="left" vertical="center"/>
      <protection/>
    </xf>
    <xf numFmtId="49" fontId="13" fillId="0" borderId="25" xfId="0" applyNumberFormat="1" applyFont="1" applyFill="1" applyBorder="1" applyAlignment="1" applyProtection="1">
      <alignment horizontal="left" vertical="center"/>
      <protection/>
    </xf>
    <xf numFmtId="49" fontId="13" fillId="0" borderId="37" xfId="0" applyNumberFormat="1" applyFont="1" applyFill="1" applyBorder="1" applyAlignment="1" applyProtection="1">
      <alignment horizontal="left" vertical="center"/>
      <protection/>
    </xf>
    <xf numFmtId="49" fontId="7" fillId="0" borderId="7" xfId="0" applyNumberFormat="1" applyFont="1" applyFill="1" applyBorder="1" applyAlignment="1" applyProtection="1">
      <alignment horizontal="left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10" fillId="0" borderId="30" xfId="0" applyNumberFormat="1" applyFont="1" applyFill="1" applyBorder="1" applyAlignment="1" applyProtection="1">
      <alignment horizontal="center" vertical="center"/>
      <protection/>
    </xf>
    <xf numFmtId="49" fontId="14" fillId="0" borderId="34" xfId="0" applyNumberFormat="1" applyFont="1" applyFill="1" applyBorder="1" applyAlignment="1" applyProtection="1">
      <alignment horizontal="left" vertical="center"/>
      <protection/>
    </xf>
    <xf numFmtId="49" fontId="13" fillId="0" borderId="31" xfId="0" applyNumberFormat="1" applyFont="1" applyFill="1" applyBorder="1" applyAlignment="1" applyProtection="1">
      <alignment horizontal="left" vertical="center"/>
      <protection/>
    </xf>
    <xf numFmtId="0" fontId="12" fillId="0" borderId="38" xfId="0" applyNumberFormat="1" applyFont="1" applyFill="1" applyBorder="1" applyAlignment="1" applyProtection="1">
      <alignment horizontal="left" vertical="center"/>
      <protection/>
    </xf>
    <xf numFmtId="0" fontId="12" fillId="3" borderId="30" xfId="0" applyNumberFormat="1" applyFont="1" applyFill="1" applyBorder="1" applyAlignment="1" applyProtection="1">
      <alignment horizontal="left" vertical="center"/>
      <protection/>
    </xf>
    <xf numFmtId="0" fontId="13" fillId="0" borderId="7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9" xfId="0" applyNumberFormat="1" applyFont="1" applyFill="1" applyBorder="1" applyAlignment="1" applyProtection="1">
      <alignment horizontal="left" vertical="center"/>
      <protection/>
    </xf>
    <xf numFmtId="0" fontId="1" fillId="0" borderId="7" xfId="0" applyNumberFormat="1" applyFont="1" applyFill="1" applyBorder="1" applyAlignment="1" applyProtection="1">
      <alignment vertical="center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3" fillId="0" borderId="39" xfId="0" applyNumberFormat="1" applyFont="1" applyFill="1" applyBorder="1" applyAlignment="1" applyProtection="1">
      <alignment horizontal="left" vertical="center"/>
      <protection/>
    </xf>
    <xf numFmtId="0" fontId="13" fillId="0" borderId="40" xfId="0" applyNumberFormat="1" applyFont="1" applyFill="1" applyBorder="1" applyAlignment="1" applyProtection="1">
      <alignment horizontal="left" vertical="center"/>
      <protection/>
    </xf>
    <xf numFmtId="0" fontId="13" fillId="0" borderId="41" xfId="0" applyNumberFormat="1" applyFont="1" applyFill="1" applyBorder="1" applyAlignment="1" applyProtection="1">
      <alignment horizontal="left" vertical="center"/>
      <protection/>
    </xf>
    <xf numFmtId="0" fontId="15" fillId="0" borderId="1" xfId="0" applyNumberFormat="1" applyFont="1" applyFill="1" applyBorder="1" applyAlignment="1" applyProtection="1">
      <alignment horizontal="center" vertical="center"/>
      <protection/>
    </xf>
    <xf numFmtId="49" fontId="13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3" fillId="0" borderId="38" xfId="0" applyNumberFormat="1" applyFont="1" applyFill="1" applyBorder="1" applyAlignment="1" applyProtection="1">
      <alignment horizontal="left" vertical="center"/>
      <protection/>
    </xf>
    <xf numFmtId="4" fontId="13" fillId="0" borderId="31" xfId="0" applyNumberFormat="1" applyFont="1" applyFill="1" applyBorder="1" applyAlignment="1" applyProtection="1">
      <alignment horizontal="right" vertical="center"/>
      <protection/>
    </xf>
    <xf numFmtId="49" fontId="13" fillId="0" borderId="31" xfId="0" applyNumberFormat="1" applyFont="1" applyFill="1" applyBorder="1" applyAlignment="1" applyProtection="1">
      <alignment horizontal="right" vertical="center"/>
      <protection/>
    </xf>
    <xf numFmtId="4" fontId="13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42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14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2" fillId="3" borderId="38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49" fontId="2" fillId="0" borderId="1" xfId="0" applyNumberFormat="1" applyFont="1" applyFill="1" applyBorder="1" applyAlignment="1" applyProtection="1">
      <alignment horizont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333375</xdr:colOff>
      <xdr:row>0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24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752475</xdr:colOff>
      <xdr:row>0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573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685800</xdr:colOff>
      <xdr:row>0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419100</xdr:colOff>
      <xdr:row>0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87"/>
  <sheetViews>
    <sheetView tabSelected="1" workbookViewId="0" topLeftCell="A1">
      <selection activeCell="A1" sqref="A1:M1"/>
    </sheetView>
  </sheetViews>
  <sheetFormatPr defaultColWidth="11.57421875" defaultRowHeight="12.75"/>
  <cols>
    <col min="1" max="1" width="3.7109375" customWidth="1"/>
    <col min="2" max="2" width="6.8515625" customWidth="1"/>
    <col min="3" max="3" width="13.28125" customWidth="1"/>
    <col min="4" max="4" width="53.7109375" customWidth="1"/>
    <col min="5" max="5" width="7.00390625" customWidth="1"/>
    <col min="6" max="6" width="12.8515625" customWidth="1"/>
    <col min="7" max="7" width="12.00390625" customWidth="1"/>
    <col min="8" max="10" width="14.28125" customWidth="1"/>
    <col min="11" max="13" width="11.7109375" customWidth="1"/>
    <col min="14" max="14" width="0" hidden="1" customWidth="1"/>
    <col min="15" max="48" width="12.140625" hidden="1" customWidth="1"/>
  </cols>
  <sheetData>
    <row r="1" spans="1:13" ht="72.75" customHeight="1">
      <c r="A1" s="124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ht="12.75">
      <c r="A2" s="3" t="s">
        <v>1</v>
      </c>
      <c r="B2" s="18"/>
      <c r="C2" s="18"/>
      <c r="D2" s="25" t="s">
        <v>254</v>
      </c>
      <c r="E2" s="29" t="s">
        <v>421</v>
      </c>
      <c r="F2" s="18"/>
      <c r="G2" s="29"/>
      <c r="H2" s="18"/>
      <c r="I2" s="43" t="s">
        <v>440</v>
      </c>
      <c r="J2" s="43"/>
      <c r="K2" s="18"/>
      <c r="L2" s="18"/>
      <c r="M2" s="51"/>
      <c r="N2" s="59"/>
    </row>
    <row r="3" spans="1:14" ht="12.75">
      <c r="A3" s="4"/>
      <c r="B3" s="19"/>
      <c r="C3" s="19"/>
      <c r="D3" s="26"/>
      <c r="E3" s="19"/>
      <c r="F3" s="19"/>
      <c r="G3" s="19"/>
      <c r="H3" s="19"/>
      <c r="I3" s="19"/>
      <c r="J3" s="19"/>
      <c r="K3" s="19"/>
      <c r="L3" s="19"/>
      <c r="M3" s="52"/>
      <c r="N3" s="59"/>
    </row>
    <row r="4" spans="1:14" ht="12.75">
      <c r="A4" s="5" t="s">
        <v>2</v>
      </c>
      <c r="B4" s="19"/>
      <c r="C4" s="19"/>
      <c r="D4" s="16" t="s">
        <v>255</v>
      </c>
      <c r="E4" s="30" t="s">
        <v>422</v>
      </c>
      <c r="F4" s="19"/>
      <c r="G4" s="37">
        <v>41950</v>
      </c>
      <c r="H4" s="19"/>
      <c r="I4" s="16" t="s">
        <v>441</v>
      </c>
      <c r="J4" s="16"/>
      <c r="K4" s="19"/>
      <c r="L4" s="19"/>
      <c r="M4" s="52"/>
      <c r="N4" s="59"/>
    </row>
    <row r="5" spans="1:14" ht="12.75">
      <c r="A5" s="4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52"/>
      <c r="N5" s="59"/>
    </row>
    <row r="6" spans="1:14" ht="12.75">
      <c r="A6" s="5" t="s">
        <v>3</v>
      </c>
      <c r="B6" s="19"/>
      <c r="C6" s="19"/>
      <c r="D6" s="16" t="s">
        <v>256</v>
      </c>
      <c r="E6" s="30" t="s">
        <v>423</v>
      </c>
      <c r="F6" s="19"/>
      <c r="G6" s="19"/>
      <c r="H6" s="19"/>
      <c r="I6" s="16" t="s">
        <v>442</v>
      </c>
      <c r="J6" s="16"/>
      <c r="K6" s="19"/>
      <c r="L6" s="19"/>
      <c r="M6" s="52"/>
      <c r="N6" s="59"/>
    </row>
    <row r="7" spans="1:14" ht="12.75">
      <c r="A7" s="4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52"/>
      <c r="N7" s="59"/>
    </row>
    <row r="8" spans="1:14" ht="12.75">
      <c r="A8" s="5" t="s">
        <v>4</v>
      </c>
      <c r="B8" s="19"/>
      <c r="C8" s="19"/>
      <c r="D8" s="16"/>
      <c r="E8" s="30" t="s">
        <v>424</v>
      </c>
      <c r="F8" s="19"/>
      <c r="G8" s="37">
        <v>41950</v>
      </c>
      <c r="H8" s="19"/>
      <c r="I8" s="16" t="s">
        <v>443</v>
      </c>
      <c r="J8" s="16"/>
      <c r="K8" s="19"/>
      <c r="L8" s="19"/>
      <c r="M8" s="52"/>
      <c r="N8" s="59"/>
    </row>
    <row r="9" spans="1:14" ht="12.75">
      <c r="A9" s="6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53"/>
      <c r="N9" s="59"/>
    </row>
    <row r="10" spans="1:14" ht="12.75">
      <c r="A10" s="7" t="s">
        <v>5</v>
      </c>
      <c r="B10" s="21" t="s">
        <v>126</v>
      </c>
      <c r="C10" s="21" t="s">
        <v>127</v>
      </c>
      <c r="D10" s="21" t="s">
        <v>257</v>
      </c>
      <c r="E10" s="21" t="s">
        <v>425</v>
      </c>
      <c r="F10" s="33" t="s">
        <v>434</v>
      </c>
      <c r="G10" s="38" t="s">
        <v>435</v>
      </c>
      <c r="H10" s="40" t="s">
        <v>437</v>
      </c>
      <c r="I10" s="44"/>
      <c r="J10" s="47"/>
      <c r="K10" s="40" t="s">
        <v>446</v>
      </c>
      <c r="L10" s="47"/>
      <c r="M10" s="54" t="s">
        <v>447</v>
      </c>
      <c r="N10" s="60"/>
    </row>
    <row r="11" spans="1:24" ht="12.75">
      <c r="A11" s="8" t="s">
        <v>6</v>
      </c>
      <c r="B11" s="22" t="s">
        <v>6</v>
      </c>
      <c r="C11" s="22" t="s">
        <v>6</v>
      </c>
      <c r="D11" s="27" t="s">
        <v>258</v>
      </c>
      <c r="E11" s="22" t="s">
        <v>6</v>
      </c>
      <c r="F11" s="22" t="s">
        <v>6</v>
      </c>
      <c r="G11" s="39" t="s">
        <v>436</v>
      </c>
      <c r="H11" s="41" t="s">
        <v>438</v>
      </c>
      <c r="I11" s="45" t="s">
        <v>444</v>
      </c>
      <c r="J11" s="48" t="s">
        <v>445</v>
      </c>
      <c r="K11" s="41" t="s">
        <v>435</v>
      </c>
      <c r="L11" s="48" t="s">
        <v>445</v>
      </c>
      <c r="M11" s="55" t="s">
        <v>448</v>
      </c>
      <c r="N11" s="60"/>
      <c r="P11" s="50" t="s">
        <v>451</v>
      </c>
      <c r="Q11" s="50" t="s">
        <v>452</v>
      </c>
      <c r="R11" s="50" t="s">
        <v>453</v>
      </c>
      <c r="S11" s="50" t="s">
        <v>454</v>
      </c>
      <c r="T11" s="50" t="s">
        <v>455</v>
      </c>
      <c r="U11" s="50" t="s">
        <v>456</v>
      </c>
      <c r="V11" s="50" t="s">
        <v>457</v>
      </c>
      <c r="W11" s="50" t="s">
        <v>458</v>
      </c>
      <c r="X11" s="50" t="s">
        <v>459</v>
      </c>
    </row>
    <row r="12" spans="1:37" ht="12.75">
      <c r="A12" s="9"/>
      <c r="B12" s="23"/>
      <c r="C12" s="23" t="s">
        <v>128</v>
      </c>
      <c r="D12" s="23" t="s">
        <v>259</v>
      </c>
      <c r="E12" s="31"/>
      <c r="F12" s="31"/>
      <c r="G12" s="31"/>
      <c r="H12" s="63">
        <f>SUM(H13:H13)</f>
        <v>0</v>
      </c>
      <c r="I12" s="63">
        <f>SUM(I13:I13)</f>
        <v>0</v>
      </c>
      <c r="J12" s="63">
        <f>H12+I12</f>
        <v>0</v>
      </c>
      <c r="K12" s="49"/>
      <c r="L12" s="63">
        <f>SUM(L13:L13)</f>
        <v>0.0204</v>
      </c>
      <c r="M12" s="49"/>
      <c r="Y12" s="50"/>
      <c r="AI12" s="64">
        <f>SUM(Z13:Z13)</f>
        <v>0</v>
      </c>
      <c r="AJ12" s="64">
        <f>SUM(AA13:AA13)</f>
        <v>0</v>
      </c>
      <c r="AK12" s="64">
        <f>SUM(AB13:AB13)</f>
        <v>0</v>
      </c>
    </row>
    <row r="13" spans="1:48" ht="12.75">
      <c r="A13" s="10" t="s">
        <v>7</v>
      </c>
      <c r="B13" s="10"/>
      <c r="C13" s="10" t="s">
        <v>129</v>
      </c>
      <c r="D13" s="10" t="s">
        <v>260</v>
      </c>
      <c r="E13" s="10" t="s">
        <v>426</v>
      </c>
      <c r="F13" s="34">
        <v>1.2</v>
      </c>
      <c r="G13" s="34">
        <v>0</v>
      </c>
      <c r="H13" s="34">
        <f>F13*AE13</f>
        <v>0</v>
      </c>
      <c r="I13" s="34">
        <f>J13-H13</f>
        <v>0</v>
      </c>
      <c r="J13" s="34">
        <f>F13*G13</f>
        <v>0</v>
      </c>
      <c r="K13" s="34">
        <v>0.017</v>
      </c>
      <c r="L13" s="34">
        <f>F13*K13</f>
        <v>0.0204</v>
      </c>
      <c r="M13" s="56" t="s">
        <v>449</v>
      </c>
      <c r="P13" s="61">
        <f>IF(AG13="5",J13,0)</f>
        <v>0</v>
      </c>
      <c r="R13" s="61">
        <f>IF(AG13="1",H13,0)</f>
        <v>0</v>
      </c>
      <c r="S13" s="61">
        <f>IF(AG13="1",I13,0)</f>
        <v>0</v>
      </c>
      <c r="T13" s="61">
        <f>IF(AG13="7",H13,0)</f>
        <v>0</v>
      </c>
      <c r="U13" s="61">
        <f>IF(AG13="7",I13,0)</f>
        <v>0</v>
      </c>
      <c r="V13" s="61">
        <f>IF(AG13="2",H13,0)</f>
        <v>0</v>
      </c>
      <c r="W13" s="61">
        <f>IF(AG13="2",I13,0)</f>
        <v>0</v>
      </c>
      <c r="X13" s="61">
        <f>IF(AG13="0",J13,0)</f>
        <v>0</v>
      </c>
      <c r="Y13" s="50"/>
      <c r="Z13" s="34">
        <f>IF(AD13=0,J13,0)</f>
        <v>0</v>
      </c>
      <c r="AA13" s="34">
        <f>IF(AD13=15,J13,0)</f>
        <v>0</v>
      </c>
      <c r="AB13" s="34">
        <f>IF(AD13=21,J13,0)</f>
        <v>0</v>
      </c>
      <c r="AD13" s="61">
        <v>21</v>
      </c>
      <c r="AE13" s="61">
        <f>G13*0</f>
        <v>0</v>
      </c>
      <c r="AF13" s="61">
        <f>G13*(1-0)</f>
        <v>0</v>
      </c>
      <c r="AG13" s="56" t="s">
        <v>7</v>
      </c>
      <c r="AM13" s="61">
        <f>F13*AE13</f>
        <v>0</v>
      </c>
      <c r="AN13" s="61">
        <f>F13*AF13</f>
        <v>0</v>
      </c>
      <c r="AO13" s="62" t="s">
        <v>460</v>
      </c>
      <c r="AP13" s="62" t="s">
        <v>460</v>
      </c>
      <c r="AQ13" s="50" t="s">
        <v>493</v>
      </c>
      <c r="AS13" s="61">
        <f>AM13+AN13</f>
        <v>0</v>
      </c>
      <c r="AT13" s="61">
        <f>G13/(100-AU13)*100</f>
        <v>0</v>
      </c>
      <c r="AU13" s="61">
        <v>0</v>
      </c>
      <c r="AV13" s="61">
        <f>L13</f>
        <v>0.0204</v>
      </c>
    </row>
    <row r="14" spans="1:37" ht="12.75">
      <c r="A14" s="11"/>
      <c r="B14" s="24"/>
      <c r="C14" s="24" t="s">
        <v>37</v>
      </c>
      <c r="D14" s="24" t="s">
        <v>261</v>
      </c>
      <c r="E14" s="32"/>
      <c r="F14" s="32"/>
      <c r="G14" s="32"/>
      <c r="H14" s="64">
        <f>SUM(H15:H23)</f>
        <v>0</v>
      </c>
      <c r="I14" s="64">
        <f>SUM(I15:I23)</f>
        <v>0</v>
      </c>
      <c r="J14" s="64">
        <f>H14+I14</f>
        <v>0</v>
      </c>
      <c r="K14" s="50"/>
      <c r="L14" s="64">
        <f>SUM(L15:L23)</f>
        <v>15.4562544</v>
      </c>
      <c r="M14" s="50"/>
      <c r="Y14" s="50"/>
      <c r="AI14" s="64">
        <f>SUM(Z15:Z23)</f>
        <v>0</v>
      </c>
      <c r="AJ14" s="64">
        <f>SUM(AA15:AA23)</f>
        <v>0</v>
      </c>
      <c r="AK14" s="64">
        <f>SUM(AB15:AB23)</f>
        <v>0</v>
      </c>
    </row>
    <row r="15" spans="1:48" ht="12.75">
      <c r="A15" s="10" t="s">
        <v>8</v>
      </c>
      <c r="B15" s="10"/>
      <c r="C15" s="10" t="s">
        <v>130</v>
      </c>
      <c r="D15" s="10" t="s">
        <v>262</v>
      </c>
      <c r="E15" s="10" t="s">
        <v>427</v>
      </c>
      <c r="F15" s="34">
        <v>5.82</v>
      </c>
      <c r="G15" s="34">
        <v>0</v>
      </c>
      <c r="H15" s="34">
        <f>F15*AE15</f>
        <v>0</v>
      </c>
      <c r="I15" s="34">
        <f>J15-H15</f>
        <v>0</v>
      </c>
      <c r="J15" s="34">
        <f>F15*G15</f>
        <v>0</v>
      </c>
      <c r="K15" s="34">
        <v>0.72508</v>
      </c>
      <c r="L15" s="34">
        <f>F15*K15</f>
        <v>4.2199656</v>
      </c>
      <c r="M15" s="56" t="s">
        <v>449</v>
      </c>
      <c r="P15" s="61">
        <f>IF(AG15="5",J15,0)</f>
        <v>0</v>
      </c>
      <c r="R15" s="61">
        <f>IF(AG15="1",H15,0)</f>
        <v>0</v>
      </c>
      <c r="S15" s="61">
        <f>IF(AG15="1",I15,0)</f>
        <v>0</v>
      </c>
      <c r="T15" s="61">
        <f>IF(AG15="7",H15,0)</f>
        <v>0</v>
      </c>
      <c r="U15" s="61">
        <f>IF(AG15="7",I15,0)</f>
        <v>0</v>
      </c>
      <c r="V15" s="61">
        <f>IF(AG15="2",H15,0)</f>
        <v>0</v>
      </c>
      <c r="W15" s="61">
        <f>IF(AG15="2",I15,0)</f>
        <v>0</v>
      </c>
      <c r="X15" s="61">
        <f>IF(AG15="0",J15,0)</f>
        <v>0</v>
      </c>
      <c r="Y15" s="50"/>
      <c r="Z15" s="34">
        <f>IF(AD15=0,J15,0)</f>
        <v>0</v>
      </c>
      <c r="AA15" s="34">
        <f>IF(AD15=15,J15,0)</f>
        <v>0</v>
      </c>
      <c r="AB15" s="34">
        <f>IF(AD15=21,J15,0)</f>
        <v>0</v>
      </c>
      <c r="AD15" s="61">
        <v>21</v>
      </c>
      <c r="AE15" s="61">
        <f>G15*0.752022320327141</f>
        <v>0</v>
      </c>
      <c r="AF15" s="61">
        <f>G15*(1-0.752022320327141)</f>
        <v>0</v>
      </c>
      <c r="AG15" s="56" t="s">
        <v>7</v>
      </c>
      <c r="AM15" s="61">
        <f>F15*AE15</f>
        <v>0</v>
      </c>
      <c r="AN15" s="61">
        <f>F15*AF15</f>
        <v>0</v>
      </c>
      <c r="AO15" s="62" t="s">
        <v>461</v>
      </c>
      <c r="AP15" s="62" t="s">
        <v>484</v>
      </c>
      <c r="AQ15" s="50" t="s">
        <v>493</v>
      </c>
      <c r="AS15" s="61">
        <f>AM15+AN15</f>
        <v>0</v>
      </c>
      <c r="AT15" s="61">
        <f>G15/(100-AU15)*100</f>
        <v>0</v>
      </c>
      <c r="AU15" s="61">
        <v>0</v>
      </c>
      <c r="AV15" s="61">
        <f>L15</f>
        <v>4.2199656</v>
      </c>
    </row>
    <row r="16" spans="1:48" ht="12.75">
      <c r="A16" s="10" t="s">
        <v>9</v>
      </c>
      <c r="B16" s="10"/>
      <c r="C16" s="10" t="s">
        <v>130</v>
      </c>
      <c r="D16" s="10" t="s">
        <v>263</v>
      </c>
      <c r="E16" s="10" t="s">
        <v>427</v>
      </c>
      <c r="F16" s="34">
        <v>1.18</v>
      </c>
      <c r="G16" s="34">
        <v>0</v>
      </c>
      <c r="H16" s="34">
        <f>F16*AE16</f>
        <v>0</v>
      </c>
      <c r="I16" s="34">
        <f>J16-H16</f>
        <v>0</v>
      </c>
      <c r="J16" s="34">
        <f>F16*G16</f>
        <v>0</v>
      </c>
      <c r="K16" s="34">
        <v>0.72508</v>
      </c>
      <c r="L16" s="34">
        <f>F16*K16</f>
        <v>0.8555943999999999</v>
      </c>
      <c r="M16" s="56" t="s">
        <v>449</v>
      </c>
      <c r="P16" s="61">
        <f>IF(AG16="5",J16,0)</f>
        <v>0</v>
      </c>
      <c r="R16" s="61">
        <f>IF(AG16="1",H16,0)</f>
        <v>0</v>
      </c>
      <c r="S16" s="61">
        <f>IF(AG16="1",I16,0)</f>
        <v>0</v>
      </c>
      <c r="T16" s="61">
        <f>IF(AG16="7",H16,0)</f>
        <v>0</v>
      </c>
      <c r="U16" s="61">
        <f>IF(AG16="7",I16,0)</f>
        <v>0</v>
      </c>
      <c r="V16" s="61">
        <f>IF(AG16="2",H16,0)</f>
        <v>0</v>
      </c>
      <c r="W16" s="61">
        <f>IF(AG16="2",I16,0)</f>
        <v>0</v>
      </c>
      <c r="X16" s="61">
        <f>IF(AG16="0",J16,0)</f>
        <v>0</v>
      </c>
      <c r="Y16" s="50"/>
      <c r="Z16" s="34">
        <f>IF(AD16=0,J16,0)</f>
        <v>0</v>
      </c>
      <c r="AA16" s="34">
        <f>IF(AD16=15,J16,0)</f>
        <v>0</v>
      </c>
      <c r="AB16" s="34">
        <f>IF(AD16=21,J16,0)</f>
        <v>0</v>
      </c>
      <c r="AD16" s="61">
        <v>21</v>
      </c>
      <c r="AE16" s="61">
        <f>G16*0.803575512376454</f>
        <v>0</v>
      </c>
      <c r="AF16" s="61">
        <f>G16*(1-0.803575512376454)</f>
        <v>0</v>
      </c>
      <c r="AG16" s="56" t="s">
        <v>7</v>
      </c>
      <c r="AM16" s="61">
        <f>F16*AE16</f>
        <v>0</v>
      </c>
      <c r="AN16" s="61">
        <f>F16*AF16</f>
        <v>0</v>
      </c>
      <c r="AO16" s="62" t="s">
        <v>461</v>
      </c>
      <c r="AP16" s="62" t="s">
        <v>484</v>
      </c>
      <c r="AQ16" s="50" t="s">
        <v>493</v>
      </c>
      <c r="AS16" s="61">
        <f>AM16+AN16</f>
        <v>0</v>
      </c>
      <c r="AT16" s="61">
        <f>G16/(100-AU16)*100</f>
        <v>0</v>
      </c>
      <c r="AU16" s="61">
        <v>0</v>
      </c>
      <c r="AV16" s="61">
        <f>L16</f>
        <v>0.8555943999999999</v>
      </c>
    </row>
    <row r="17" spans="1:48" ht="12.75">
      <c r="A17" s="10" t="s">
        <v>10</v>
      </c>
      <c r="B17" s="10"/>
      <c r="C17" s="10" t="s">
        <v>131</v>
      </c>
      <c r="D17" s="10" t="s">
        <v>264</v>
      </c>
      <c r="E17" s="10" t="s">
        <v>428</v>
      </c>
      <c r="F17" s="34">
        <v>0.5</v>
      </c>
      <c r="G17" s="34">
        <v>0</v>
      </c>
      <c r="H17" s="34">
        <f>F17*AE17</f>
        <v>0</v>
      </c>
      <c r="I17" s="34">
        <f>J17-H17</f>
        <v>0</v>
      </c>
      <c r="J17" s="34">
        <f>F17*G17</f>
        <v>0</v>
      </c>
      <c r="K17" s="34">
        <v>1.09</v>
      </c>
      <c r="L17" s="34">
        <f>F17*K17</f>
        <v>0.545</v>
      </c>
      <c r="M17" s="56" t="s">
        <v>449</v>
      </c>
      <c r="P17" s="61">
        <f>IF(AG17="5",J17,0)</f>
        <v>0</v>
      </c>
      <c r="R17" s="61">
        <f>IF(AG17="1",H17,0)</f>
        <v>0</v>
      </c>
      <c r="S17" s="61">
        <f>IF(AG17="1",I17,0)</f>
        <v>0</v>
      </c>
      <c r="T17" s="61">
        <f>IF(AG17="7",H17,0)</f>
        <v>0</v>
      </c>
      <c r="U17" s="61">
        <f>IF(AG17="7",I17,0)</f>
        <v>0</v>
      </c>
      <c r="V17" s="61">
        <f>IF(AG17="2",H17,0)</f>
        <v>0</v>
      </c>
      <c r="W17" s="61">
        <f>IF(AG17="2",I17,0)</f>
        <v>0</v>
      </c>
      <c r="X17" s="61">
        <f>IF(AG17="0",J17,0)</f>
        <v>0</v>
      </c>
      <c r="Y17" s="50"/>
      <c r="Z17" s="34">
        <f>IF(AD17=0,J17,0)</f>
        <v>0</v>
      </c>
      <c r="AA17" s="34">
        <f>IF(AD17=15,J17,0)</f>
        <v>0</v>
      </c>
      <c r="AB17" s="34">
        <f>IF(AD17=21,J17,0)</f>
        <v>0</v>
      </c>
      <c r="AD17" s="61">
        <v>21</v>
      </c>
      <c r="AE17" s="61">
        <f>G17*0.776598632162564</f>
        <v>0</v>
      </c>
      <c r="AF17" s="61">
        <f>G17*(1-0.776598632162564)</f>
        <v>0</v>
      </c>
      <c r="AG17" s="56" t="s">
        <v>7</v>
      </c>
      <c r="AM17" s="61">
        <f>F17*AE17</f>
        <v>0</v>
      </c>
      <c r="AN17" s="61">
        <f>F17*AF17</f>
        <v>0</v>
      </c>
      <c r="AO17" s="62" t="s">
        <v>461</v>
      </c>
      <c r="AP17" s="62" t="s">
        <v>484</v>
      </c>
      <c r="AQ17" s="50" t="s">
        <v>493</v>
      </c>
      <c r="AS17" s="61">
        <f>AM17+AN17</f>
        <v>0</v>
      </c>
      <c r="AT17" s="61">
        <f>G17/(100-AU17)*100</f>
        <v>0</v>
      </c>
      <c r="AU17" s="61">
        <v>0</v>
      </c>
      <c r="AV17" s="61">
        <f>L17</f>
        <v>0.545</v>
      </c>
    </row>
    <row r="18" ht="12.75">
      <c r="D18" s="28" t="s">
        <v>265</v>
      </c>
    </row>
    <row r="19" spans="1:48" ht="12.75">
      <c r="A19" s="10" t="s">
        <v>11</v>
      </c>
      <c r="B19" s="10"/>
      <c r="C19" s="10" t="s">
        <v>132</v>
      </c>
      <c r="D19" s="10" t="s">
        <v>266</v>
      </c>
      <c r="E19" s="10" t="s">
        <v>428</v>
      </c>
      <c r="F19" s="34">
        <v>0.4</v>
      </c>
      <c r="G19" s="34">
        <v>0</v>
      </c>
      <c r="H19" s="34">
        <f>F19*AE19</f>
        <v>0</v>
      </c>
      <c r="I19" s="34">
        <f>J19-H19</f>
        <v>0</v>
      </c>
      <c r="J19" s="34">
        <f>F19*G19</f>
        <v>0</v>
      </c>
      <c r="K19" s="34">
        <v>1.09</v>
      </c>
      <c r="L19" s="34">
        <f>F19*K19</f>
        <v>0.43600000000000005</v>
      </c>
      <c r="M19" s="56" t="s">
        <v>449</v>
      </c>
      <c r="P19" s="61">
        <f>IF(AG19="5",J19,0)</f>
        <v>0</v>
      </c>
      <c r="R19" s="61">
        <f>IF(AG19="1",H19,0)</f>
        <v>0</v>
      </c>
      <c r="S19" s="61">
        <f>IF(AG19="1",I19,0)</f>
        <v>0</v>
      </c>
      <c r="T19" s="61">
        <f>IF(AG19="7",H19,0)</f>
        <v>0</v>
      </c>
      <c r="U19" s="61">
        <f>IF(AG19="7",I19,0)</f>
        <v>0</v>
      </c>
      <c r="V19" s="61">
        <f>IF(AG19="2",H19,0)</f>
        <v>0</v>
      </c>
      <c r="W19" s="61">
        <f>IF(AG19="2",I19,0)</f>
        <v>0</v>
      </c>
      <c r="X19" s="61">
        <f>IF(AG19="0",J19,0)</f>
        <v>0</v>
      </c>
      <c r="Y19" s="50"/>
      <c r="Z19" s="34">
        <f>IF(AD19=0,J19,0)</f>
        <v>0</v>
      </c>
      <c r="AA19" s="34">
        <f>IF(AD19=15,J19,0)</f>
        <v>0</v>
      </c>
      <c r="AB19" s="34">
        <f>IF(AD19=21,J19,0)</f>
        <v>0</v>
      </c>
      <c r="AD19" s="61">
        <v>21</v>
      </c>
      <c r="AE19" s="61">
        <f>G19*0.79211662817552</f>
        <v>0</v>
      </c>
      <c r="AF19" s="61">
        <f>G19*(1-0.79211662817552)</f>
        <v>0</v>
      </c>
      <c r="AG19" s="56" t="s">
        <v>7</v>
      </c>
      <c r="AM19" s="61">
        <f>F19*AE19</f>
        <v>0</v>
      </c>
      <c r="AN19" s="61">
        <f>F19*AF19</f>
        <v>0</v>
      </c>
      <c r="AO19" s="62" t="s">
        <v>461</v>
      </c>
      <c r="AP19" s="62" t="s">
        <v>484</v>
      </c>
      <c r="AQ19" s="50" t="s">
        <v>493</v>
      </c>
      <c r="AS19" s="61">
        <f>AM19+AN19</f>
        <v>0</v>
      </c>
      <c r="AT19" s="61">
        <f>G19/(100-AU19)*100</f>
        <v>0</v>
      </c>
      <c r="AU19" s="61">
        <v>0</v>
      </c>
      <c r="AV19" s="61">
        <f>L19</f>
        <v>0.43600000000000005</v>
      </c>
    </row>
    <row r="20" ht="12.75">
      <c r="D20" s="28" t="s">
        <v>267</v>
      </c>
    </row>
    <row r="21" spans="1:48" ht="12.75">
      <c r="A21" s="10" t="s">
        <v>12</v>
      </c>
      <c r="B21" s="10"/>
      <c r="C21" s="10" t="s">
        <v>133</v>
      </c>
      <c r="D21" s="10" t="s">
        <v>268</v>
      </c>
      <c r="E21" s="10" t="s">
        <v>427</v>
      </c>
      <c r="F21" s="34">
        <v>8.5</v>
      </c>
      <c r="G21" s="34">
        <v>0</v>
      </c>
      <c r="H21" s="34">
        <f>F21*AE21</f>
        <v>0</v>
      </c>
      <c r="I21" s="34">
        <f>J21-H21</f>
        <v>0</v>
      </c>
      <c r="J21" s="34">
        <f>F21*G21</f>
        <v>0</v>
      </c>
      <c r="K21" s="34">
        <v>1.09346</v>
      </c>
      <c r="L21" s="34">
        <f>F21*K21</f>
        <v>9.294410000000001</v>
      </c>
      <c r="M21" s="56" t="s">
        <v>449</v>
      </c>
      <c r="P21" s="61">
        <f>IF(AG21="5",J21,0)</f>
        <v>0</v>
      </c>
      <c r="R21" s="61">
        <f>IF(AG21="1",H21,0)</f>
        <v>0</v>
      </c>
      <c r="S21" s="61">
        <f>IF(AG21="1",I21,0)</f>
        <v>0</v>
      </c>
      <c r="T21" s="61">
        <f>IF(AG21="7",H21,0)</f>
        <v>0</v>
      </c>
      <c r="U21" s="61">
        <f>IF(AG21="7",I21,0)</f>
        <v>0</v>
      </c>
      <c r="V21" s="61">
        <f>IF(AG21="2",H21,0)</f>
        <v>0</v>
      </c>
      <c r="W21" s="61">
        <f>IF(AG21="2",I21,0)</f>
        <v>0</v>
      </c>
      <c r="X21" s="61">
        <f>IF(AG21="0",J21,0)</f>
        <v>0</v>
      </c>
      <c r="Y21" s="50"/>
      <c r="Z21" s="34">
        <f>IF(AD21=0,J21,0)</f>
        <v>0</v>
      </c>
      <c r="AA21" s="34">
        <f>IF(AD21=15,J21,0)</f>
        <v>0</v>
      </c>
      <c r="AB21" s="34">
        <f>IF(AD21=21,J21,0)</f>
        <v>0</v>
      </c>
      <c r="AD21" s="61">
        <v>21</v>
      </c>
      <c r="AE21" s="61">
        <f>G21*0.623369532428356</f>
        <v>0</v>
      </c>
      <c r="AF21" s="61">
        <f>G21*(1-0.623369532428356)</f>
        <v>0</v>
      </c>
      <c r="AG21" s="56" t="s">
        <v>7</v>
      </c>
      <c r="AM21" s="61">
        <f>F21*AE21</f>
        <v>0</v>
      </c>
      <c r="AN21" s="61">
        <f>F21*AF21</f>
        <v>0</v>
      </c>
      <c r="AO21" s="62" t="s">
        <v>461</v>
      </c>
      <c r="AP21" s="62" t="s">
        <v>484</v>
      </c>
      <c r="AQ21" s="50" t="s">
        <v>493</v>
      </c>
      <c r="AS21" s="61">
        <f>AM21+AN21</f>
        <v>0</v>
      </c>
      <c r="AT21" s="61">
        <f>G21/(100-AU21)*100</f>
        <v>0</v>
      </c>
      <c r="AU21" s="61">
        <v>0</v>
      </c>
      <c r="AV21" s="61">
        <f>L21</f>
        <v>9.294410000000001</v>
      </c>
    </row>
    <row r="22" spans="1:48" ht="12.75">
      <c r="A22" s="10" t="s">
        <v>13</v>
      </c>
      <c r="B22" s="10"/>
      <c r="C22" s="10" t="s">
        <v>134</v>
      </c>
      <c r="D22" s="10" t="s">
        <v>269</v>
      </c>
      <c r="E22" s="10" t="s">
        <v>429</v>
      </c>
      <c r="F22" s="34">
        <v>11.91</v>
      </c>
      <c r="G22" s="34">
        <v>0</v>
      </c>
      <c r="H22" s="34">
        <f>F22*AE22</f>
        <v>0</v>
      </c>
      <c r="I22" s="34">
        <f>J22-H22</f>
        <v>0</v>
      </c>
      <c r="J22" s="34">
        <f>F22*G22</f>
        <v>0</v>
      </c>
      <c r="K22" s="34">
        <v>0.00884</v>
      </c>
      <c r="L22" s="34">
        <f>F22*K22</f>
        <v>0.10528440000000001</v>
      </c>
      <c r="M22" s="56" t="s">
        <v>449</v>
      </c>
      <c r="P22" s="61">
        <f>IF(AG22="5",J22,0)</f>
        <v>0</v>
      </c>
      <c r="R22" s="61">
        <f>IF(AG22="1",H22,0)</f>
        <v>0</v>
      </c>
      <c r="S22" s="61">
        <f>IF(AG22="1",I22,0)</f>
        <v>0</v>
      </c>
      <c r="T22" s="61">
        <f>IF(AG22="7",H22,0)</f>
        <v>0</v>
      </c>
      <c r="U22" s="61">
        <f>IF(AG22="7",I22,0)</f>
        <v>0</v>
      </c>
      <c r="V22" s="61">
        <f>IF(AG22="2",H22,0)</f>
        <v>0</v>
      </c>
      <c r="W22" s="61">
        <f>IF(AG22="2",I22,0)</f>
        <v>0</v>
      </c>
      <c r="X22" s="61">
        <f>IF(AG22="0",J22,0)</f>
        <v>0</v>
      </c>
      <c r="Y22" s="50"/>
      <c r="Z22" s="34">
        <f>IF(AD22=0,J22,0)</f>
        <v>0</v>
      </c>
      <c r="AA22" s="34">
        <f>IF(AD22=15,J22,0)</f>
        <v>0</v>
      </c>
      <c r="AB22" s="34">
        <f>IF(AD22=21,J22,0)</f>
        <v>0</v>
      </c>
      <c r="AD22" s="61">
        <v>21</v>
      </c>
      <c r="AE22" s="61">
        <f>G22*0.250238836967809</f>
        <v>0</v>
      </c>
      <c r="AF22" s="61">
        <f>G22*(1-0.250238836967809)</f>
        <v>0</v>
      </c>
      <c r="AG22" s="56" t="s">
        <v>7</v>
      </c>
      <c r="AM22" s="61">
        <f>F22*AE22</f>
        <v>0</v>
      </c>
      <c r="AN22" s="61">
        <f>F22*AF22</f>
        <v>0</v>
      </c>
      <c r="AO22" s="62" t="s">
        <v>461</v>
      </c>
      <c r="AP22" s="62" t="s">
        <v>484</v>
      </c>
      <c r="AQ22" s="50" t="s">
        <v>493</v>
      </c>
      <c r="AS22" s="61">
        <f>AM22+AN22</f>
        <v>0</v>
      </c>
      <c r="AT22" s="61">
        <f>G22/(100-AU22)*100</f>
        <v>0</v>
      </c>
      <c r="AU22" s="61">
        <v>0</v>
      </c>
      <c r="AV22" s="61">
        <f>L22</f>
        <v>0.10528440000000001</v>
      </c>
    </row>
    <row r="23" spans="1:48" ht="12.75">
      <c r="A23" s="10" t="s">
        <v>14</v>
      </c>
      <c r="B23" s="10"/>
      <c r="C23" s="10" t="s">
        <v>135</v>
      </c>
      <c r="D23" s="10" t="s">
        <v>270</v>
      </c>
      <c r="E23" s="10" t="s">
        <v>429</v>
      </c>
      <c r="F23" s="34">
        <v>11.91</v>
      </c>
      <c r="G23" s="34">
        <v>0</v>
      </c>
      <c r="H23" s="34">
        <f>F23*AE23</f>
        <v>0</v>
      </c>
      <c r="I23" s="34">
        <f>J23-H23</f>
        <v>0</v>
      </c>
      <c r="J23" s="34">
        <f>F23*G23</f>
        <v>0</v>
      </c>
      <c r="K23" s="34">
        <v>0</v>
      </c>
      <c r="L23" s="34">
        <f>F23*K23</f>
        <v>0</v>
      </c>
      <c r="M23" s="56" t="s">
        <v>449</v>
      </c>
      <c r="P23" s="61">
        <f>IF(AG23="5",J23,0)</f>
        <v>0</v>
      </c>
      <c r="R23" s="61">
        <f>IF(AG23="1",H23,0)</f>
        <v>0</v>
      </c>
      <c r="S23" s="61">
        <f>IF(AG23="1",I23,0)</f>
        <v>0</v>
      </c>
      <c r="T23" s="61">
        <f>IF(AG23="7",H23,0)</f>
        <v>0</v>
      </c>
      <c r="U23" s="61">
        <f>IF(AG23="7",I23,0)</f>
        <v>0</v>
      </c>
      <c r="V23" s="61">
        <f>IF(AG23="2",H23,0)</f>
        <v>0</v>
      </c>
      <c r="W23" s="61">
        <f>IF(AG23="2",I23,0)</f>
        <v>0</v>
      </c>
      <c r="X23" s="61">
        <f>IF(AG23="0",J23,0)</f>
        <v>0</v>
      </c>
      <c r="Y23" s="50"/>
      <c r="Z23" s="34">
        <f>IF(AD23=0,J23,0)</f>
        <v>0</v>
      </c>
      <c r="AA23" s="34">
        <f>IF(AD23=15,J23,0)</f>
        <v>0</v>
      </c>
      <c r="AB23" s="34">
        <f>IF(AD23=21,J23,0)</f>
        <v>0</v>
      </c>
      <c r="AD23" s="61">
        <v>21</v>
      </c>
      <c r="AE23" s="61">
        <f>G23*0</f>
        <v>0</v>
      </c>
      <c r="AF23" s="61">
        <f>G23*(1-0)</f>
        <v>0</v>
      </c>
      <c r="AG23" s="56" t="s">
        <v>7</v>
      </c>
      <c r="AM23" s="61">
        <f>F23*AE23</f>
        <v>0</v>
      </c>
      <c r="AN23" s="61">
        <f>F23*AF23</f>
        <v>0</v>
      </c>
      <c r="AO23" s="62" t="s">
        <v>461</v>
      </c>
      <c r="AP23" s="62" t="s">
        <v>484</v>
      </c>
      <c r="AQ23" s="50" t="s">
        <v>493</v>
      </c>
      <c r="AS23" s="61">
        <f>AM23+AN23</f>
        <v>0</v>
      </c>
      <c r="AT23" s="61">
        <f>G23/(100-AU23)*100</f>
        <v>0</v>
      </c>
      <c r="AU23" s="61">
        <v>0</v>
      </c>
      <c r="AV23" s="61">
        <f>L23</f>
        <v>0</v>
      </c>
    </row>
    <row r="24" spans="1:37" ht="12.75">
      <c r="A24" s="11"/>
      <c r="B24" s="24"/>
      <c r="C24" s="24" t="s">
        <v>40</v>
      </c>
      <c r="D24" s="24" t="s">
        <v>271</v>
      </c>
      <c r="E24" s="32"/>
      <c r="F24" s="32"/>
      <c r="G24" s="32"/>
      <c r="H24" s="64">
        <f>SUM(H25:H33)</f>
        <v>0</v>
      </c>
      <c r="I24" s="64">
        <f>SUM(I25:I33)</f>
        <v>0</v>
      </c>
      <c r="J24" s="64">
        <f>H24+I24</f>
        <v>0</v>
      </c>
      <c r="K24" s="50"/>
      <c r="L24" s="64">
        <f>SUM(L25:L33)</f>
        <v>50.8311135</v>
      </c>
      <c r="M24" s="50"/>
      <c r="Y24" s="50"/>
      <c r="AI24" s="64">
        <f>SUM(Z25:Z33)</f>
        <v>0</v>
      </c>
      <c r="AJ24" s="64">
        <f>SUM(AA25:AA33)</f>
        <v>0</v>
      </c>
      <c r="AK24" s="64">
        <f>SUM(AB25:AB33)</f>
        <v>0</v>
      </c>
    </row>
    <row r="25" spans="1:48" ht="12.75">
      <c r="A25" s="10" t="s">
        <v>15</v>
      </c>
      <c r="B25" s="10"/>
      <c r="C25" s="10" t="s">
        <v>136</v>
      </c>
      <c r="D25" s="10" t="s">
        <v>272</v>
      </c>
      <c r="E25" s="10" t="s">
        <v>429</v>
      </c>
      <c r="F25" s="34">
        <v>167.74</v>
      </c>
      <c r="G25" s="34">
        <v>0</v>
      </c>
      <c r="H25" s="34">
        <f>F25*AE25</f>
        <v>0</v>
      </c>
      <c r="I25" s="34">
        <f>J25-H25</f>
        <v>0</v>
      </c>
      <c r="J25" s="34">
        <f>F25*G25</f>
        <v>0</v>
      </c>
      <c r="K25" s="34">
        <v>0.11386</v>
      </c>
      <c r="L25" s="34">
        <f>F25*K25</f>
        <v>19.0988764</v>
      </c>
      <c r="M25" s="56" t="s">
        <v>449</v>
      </c>
      <c r="P25" s="61">
        <f>IF(AG25="5",J25,0)</f>
        <v>0</v>
      </c>
      <c r="R25" s="61">
        <f>IF(AG25="1",H25,0)</f>
        <v>0</v>
      </c>
      <c r="S25" s="61">
        <f>IF(AG25="1",I25,0)</f>
        <v>0</v>
      </c>
      <c r="T25" s="61">
        <f>IF(AG25="7",H25,0)</f>
        <v>0</v>
      </c>
      <c r="U25" s="61">
        <f>IF(AG25="7",I25,0)</f>
        <v>0</v>
      </c>
      <c r="V25" s="61">
        <f>IF(AG25="2",H25,0)</f>
        <v>0</v>
      </c>
      <c r="W25" s="61">
        <f>IF(AG25="2",I25,0)</f>
        <v>0</v>
      </c>
      <c r="X25" s="61">
        <f>IF(AG25="0",J25,0)</f>
        <v>0</v>
      </c>
      <c r="Y25" s="50"/>
      <c r="Z25" s="34">
        <f>IF(AD25=0,J25,0)</f>
        <v>0</v>
      </c>
      <c r="AA25" s="34">
        <f>IF(AD25=15,J25,0)</f>
        <v>0</v>
      </c>
      <c r="AB25" s="34">
        <f>IF(AD25=21,J25,0)</f>
        <v>0</v>
      </c>
      <c r="AD25" s="61">
        <v>21</v>
      </c>
      <c r="AE25" s="61">
        <f>G25*0.668476702508961</f>
        <v>0</v>
      </c>
      <c r="AF25" s="61">
        <f>G25*(1-0.668476702508961)</f>
        <v>0</v>
      </c>
      <c r="AG25" s="56" t="s">
        <v>7</v>
      </c>
      <c r="AM25" s="61">
        <f>F25*AE25</f>
        <v>0</v>
      </c>
      <c r="AN25" s="61">
        <f>F25*AF25</f>
        <v>0</v>
      </c>
      <c r="AO25" s="62" t="s">
        <v>462</v>
      </c>
      <c r="AP25" s="62" t="s">
        <v>484</v>
      </c>
      <c r="AQ25" s="50" t="s">
        <v>493</v>
      </c>
      <c r="AS25" s="61">
        <f>AM25+AN25</f>
        <v>0</v>
      </c>
      <c r="AT25" s="61">
        <f>G25/(100-AU25)*100</f>
        <v>0</v>
      </c>
      <c r="AU25" s="61">
        <v>0</v>
      </c>
      <c r="AV25" s="61">
        <f>L25</f>
        <v>19.0988764</v>
      </c>
    </row>
    <row r="26" ht="12.75">
      <c r="D26" s="28" t="s">
        <v>273</v>
      </c>
    </row>
    <row r="27" spans="1:48" ht="12.75">
      <c r="A27" s="10" t="s">
        <v>16</v>
      </c>
      <c r="B27" s="10"/>
      <c r="C27" s="10" t="s">
        <v>137</v>
      </c>
      <c r="D27" s="10" t="s">
        <v>274</v>
      </c>
      <c r="E27" s="10" t="s">
        <v>429</v>
      </c>
      <c r="F27" s="34">
        <v>29.5</v>
      </c>
      <c r="G27" s="34">
        <v>0</v>
      </c>
      <c r="H27" s="34">
        <f>F27*AE27</f>
        <v>0</v>
      </c>
      <c r="I27" s="34">
        <f>J27-H27</f>
        <v>0</v>
      </c>
      <c r="J27" s="34">
        <f>F27*G27</f>
        <v>0</v>
      </c>
      <c r="K27" s="34">
        <v>0.03848</v>
      </c>
      <c r="L27" s="34">
        <f>F27*K27</f>
        <v>1.13516</v>
      </c>
      <c r="M27" s="56" t="s">
        <v>449</v>
      </c>
      <c r="P27" s="61">
        <f>IF(AG27="5",J27,0)</f>
        <v>0</v>
      </c>
      <c r="R27" s="61">
        <f>IF(AG27="1",H27,0)</f>
        <v>0</v>
      </c>
      <c r="S27" s="61">
        <f>IF(AG27="1",I27,0)</f>
        <v>0</v>
      </c>
      <c r="T27" s="61">
        <f>IF(AG27="7",H27,0)</f>
        <v>0</v>
      </c>
      <c r="U27" s="61">
        <f>IF(AG27="7",I27,0)</f>
        <v>0</v>
      </c>
      <c r="V27" s="61">
        <f>IF(AG27="2",H27,0)</f>
        <v>0</v>
      </c>
      <c r="W27" s="61">
        <f>IF(AG27="2",I27,0)</f>
        <v>0</v>
      </c>
      <c r="X27" s="61">
        <f>IF(AG27="0",J27,0)</f>
        <v>0</v>
      </c>
      <c r="Y27" s="50"/>
      <c r="Z27" s="34">
        <f>IF(AD27=0,J27,0)</f>
        <v>0</v>
      </c>
      <c r="AA27" s="34">
        <f>IF(AD27=15,J27,0)</f>
        <v>0</v>
      </c>
      <c r="AB27" s="34">
        <f>IF(AD27=21,J27,0)</f>
        <v>0</v>
      </c>
      <c r="AD27" s="61">
        <v>21</v>
      </c>
      <c r="AE27" s="61">
        <f>G27*0.469915397631134</f>
        <v>0</v>
      </c>
      <c r="AF27" s="61">
        <f>G27*(1-0.469915397631134)</f>
        <v>0</v>
      </c>
      <c r="AG27" s="56" t="s">
        <v>7</v>
      </c>
      <c r="AM27" s="61">
        <f>F27*AE27</f>
        <v>0</v>
      </c>
      <c r="AN27" s="61">
        <f>F27*AF27</f>
        <v>0</v>
      </c>
      <c r="AO27" s="62" t="s">
        <v>462</v>
      </c>
      <c r="AP27" s="62" t="s">
        <v>484</v>
      </c>
      <c r="AQ27" s="50" t="s">
        <v>493</v>
      </c>
      <c r="AS27" s="61">
        <f>AM27+AN27</f>
        <v>0</v>
      </c>
      <c r="AT27" s="61">
        <f>G27/(100-AU27)*100</f>
        <v>0</v>
      </c>
      <c r="AU27" s="61">
        <v>0</v>
      </c>
      <c r="AV27" s="61">
        <f>L27</f>
        <v>1.13516</v>
      </c>
    </row>
    <row r="28" ht="12.75">
      <c r="D28" s="28" t="s">
        <v>275</v>
      </c>
    </row>
    <row r="29" spans="1:48" ht="12.75">
      <c r="A29" s="10" t="s">
        <v>17</v>
      </c>
      <c r="B29" s="10"/>
      <c r="C29" s="10" t="s">
        <v>138</v>
      </c>
      <c r="D29" s="10" t="s">
        <v>276</v>
      </c>
      <c r="E29" s="10" t="s">
        <v>429</v>
      </c>
      <c r="F29" s="34">
        <v>400.63</v>
      </c>
      <c r="G29" s="34">
        <v>0</v>
      </c>
      <c r="H29" s="34">
        <f>F29*AE29</f>
        <v>0</v>
      </c>
      <c r="I29" s="34">
        <f>J29-H29</f>
        <v>0</v>
      </c>
      <c r="J29" s="34">
        <f>F29*G29</f>
        <v>0</v>
      </c>
      <c r="K29" s="34">
        <v>0.07617</v>
      </c>
      <c r="L29" s="34">
        <f>F29*K29</f>
        <v>30.5159871</v>
      </c>
      <c r="M29" s="56" t="s">
        <v>449</v>
      </c>
      <c r="P29" s="61">
        <f>IF(AG29="5",J29,0)</f>
        <v>0</v>
      </c>
      <c r="R29" s="61">
        <f>IF(AG29="1",H29,0)</f>
        <v>0</v>
      </c>
      <c r="S29" s="61">
        <f>IF(AG29="1",I29,0)</f>
        <v>0</v>
      </c>
      <c r="T29" s="61">
        <f>IF(AG29="7",H29,0)</f>
        <v>0</v>
      </c>
      <c r="U29" s="61">
        <f>IF(AG29="7",I29,0)</f>
        <v>0</v>
      </c>
      <c r="V29" s="61">
        <f>IF(AG29="2",H29,0)</f>
        <v>0</v>
      </c>
      <c r="W29" s="61">
        <f>IF(AG29="2",I29,0)</f>
        <v>0</v>
      </c>
      <c r="X29" s="61">
        <f>IF(AG29="0",J29,0)</f>
        <v>0</v>
      </c>
      <c r="Y29" s="50"/>
      <c r="Z29" s="34">
        <f>IF(AD29=0,J29,0)</f>
        <v>0</v>
      </c>
      <c r="AA29" s="34">
        <f>IF(AD29=15,J29,0)</f>
        <v>0</v>
      </c>
      <c r="AB29" s="34">
        <f>IF(AD29=21,J29,0)</f>
        <v>0</v>
      </c>
      <c r="AD29" s="61">
        <v>21</v>
      </c>
      <c r="AE29" s="61">
        <f>G29*0.614358949673879</f>
        <v>0</v>
      </c>
      <c r="AF29" s="61">
        <f>G29*(1-0.614358949673879)</f>
        <v>0</v>
      </c>
      <c r="AG29" s="56" t="s">
        <v>7</v>
      </c>
      <c r="AM29" s="61">
        <f>F29*AE29</f>
        <v>0</v>
      </c>
      <c r="AN29" s="61">
        <f>F29*AF29</f>
        <v>0</v>
      </c>
      <c r="AO29" s="62" t="s">
        <v>462</v>
      </c>
      <c r="AP29" s="62" t="s">
        <v>484</v>
      </c>
      <c r="AQ29" s="50" t="s">
        <v>493</v>
      </c>
      <c r="AS29" s="61">
        <f>AM29+AN29</f>
        <v>0</v>
      </c>
      <c r="AT29" s="61">
        <f>G29/(100-AU29)*100</f>
        <v>0</v>
      </c>
      <c r="AU29" s="61">
        <v>0</v>
      </c>
      <c r="AV29" s="61">
        <f>L29</f>
        <v>30.5159871</v>
      </c>
    </row>
    <row r="30" ht="12.75">
      <c r="D30" s="28" t="s">
        <v>277</v>
      </c>
    </row>
    <row r="31" spans="1:48" ht="12.75">
      <c r="A31" s="10" t="s">
        <v>18</v>
      </c>
      <c r="B31" s="10"/>
      <c r="C31" s="10" t="s">
        <v>139</v>
      </c>
      <c r="D31" s="10" t="s">
        <v>278</v>
      </c>
      <c r="E31" s="10" t="s">
        <v>430</v>
      </c>
      <c r="F31" s="34">
        <v>3</v>
      </c>
      <c r="G31" s="34">
        <v>0</v>
      </c>
      <c r="H31" s="34">
        <f>F31*AE31</f>
        <v>0</v>
      </c>
      <c r="I31" s="34">
        <f>J31-H31</f>
        <v>0</v>
      </c>
      <c r="J31" s="34">
        <f>F31*G31</f>
        <v>0</v>
      </c>
      <c r="K31" s="34">
        <v>0.00477</v>
      </c>
      <c r="L31" s="34">
        <f>F31*K31</f>
        <v>0.01431</v>
      </c>
      <c r="M31" s="56" t="s">
        <v>449</v>
      </c>
      <c r="P31" s="61">
        <f>IF(AG31="5",J31,0)</f>
        <v>0</v>
      </c>
      <c r="R31" s="61">
        <f>IF(AG31="1",H31,0)</f>
        <v>0</v>
      </c>
      <c r="S31" s="61">
        <f>IF(AG31="1",I31,0)</f>
        <v>0</v>
      </c>
      <c r="T31" s="61">
        <f>IF(AG31="7",H31,0)</f>
        <v>0</v>
      </c>
      <c r="U31" s="61">
        <f>IF(AG31="7",I31,0)</f>
        <v>0</v>
      </c>
      <c r="V31" s="61">
        <f>IF(AG31="2",H31,0)</f>
        <v>0</v>
      </c>
      <c r="W31" s="61">
        <f>IF(AG31="2",I31,0)</f>
        <v>0</v>
      </c>
      <c r="X31" s="61">
        <f>IF(AG31="0",J31,0)</f>
        <v>0</v>
      </c>
      <c r="Y31" s="50"/>
      <c r="Z31" s="34">
        <f>IF(AD31=0,J31,0)</f>
        <v>0</v>
      </c>
      <c r="AA31" s="34">
        <f>IF(AD31=15,J31,0)</f>
        <v>0</v>
      </c>
      <c r="AB31" s="34">
        <f>IF(AD31=21,J31,0)</f>
        <v>0</v>
      </c>
      <c r="AD31" s="61">
        <v>21</v>
      </c>
      <c r="AE31" s="61">
        <f>G31*0.87860302677532</f>
        <v>0</v>
      </c>
      <c r="AF31" s="61">
        <f>G31*(1-0.87860302677532)</f>
        <v>0</v>
      </c>
      <c r="AG31" s="56" t="s">
        <v>7</v>
      </c>
      <c r="AM31" s="61">
        <f>F31*AE31</f>
        <v>0</v>
      </c>
      <c r="AN31" s="61">
        <f>F31*AF31</f>
        <v>0</v>
      </c>
      <c r="AO31" s="62" t="s">
        <v>462</v>
      </c>
      <c r="AP31" s="62" t="s">
        <v>484</v>
      </c>
      <c r="AQ31" s="50" t="s">
        <v>493</v>
      </c>
      <c r="AS31" s="61">
        <f>AM31+AN31</f>
        <v>0</v>
      </c>
      <c r="AT31" s="61">
        <f>G31/(100-AU31)*100</f>
        <v>0</v>
      </c>
      <c r="AU31" s="61">
        <v>0</v>
      </c>
      <c r="AV31" s="61">
        <f>L31</f>
        <v>0.01431</v>
      </c>
    </row>
    <row r="32" ht="12.75">
      <c r="D32" s="28" t="s">
        <v>279</v>
      </c>
    </row>
    <row r="33" spans="1:48" ht="12.75">
      <c r="A33" s="10" t="s">
        <v>19</v>
      </c>
      <c r="B33" s="10"/>
      <c r="C33" s="10" t="s">
        <v>139</v>
      </c>
      <c r="D33" s="10" t="s">
        <v>280</v>
      </c>
      <c r="E33" s="10" t="s">
        <v>430</v>
      </c>
      <c r="F33" s="34">
        <v>14</v>
      </c>
      <c r="G33" s="34">
        <v>0</v>
      </c>
      <c r="H33" s="34">
        <f>F33*AE33</f>
        <v>0</v>
      </c>
      <c r="I33" s="34">
        <f>J33-H33</f>
        <v>0</v>
      </c>
      <c r="J33" s="34">
        <f>F33*G33</f>
        <v>0</v>
      </c>
      <c r="K33" s="34">
        <v>0.00477</v>
      </c>
      <c r="L33" s="34">
        <f>F33*K33</f>
        <v>0.06678</v>
      </c>
      <c r="M33" s="56" t="s">
        <v>449</v>
      </c>
      <c r="P33" s="61">
        <f>IF(AG33="5",J33,0)</f>
        <v>0</v>
      </c>
      <c r="R33" s="61">
        <f>IF(AG33="1",H33,0)</f>
        <v>0</v>
      </c>
      <c r="S33" s="61">
        <f>IF(AG33="1",I33,0)</f>
        <v>0</v>
      </c>
      <c r="T33" s="61">
        <f>IF(AG33="7",H33,0)</f>
        <v>0</v>
      </c>
      <c r="U33" s="61">
        <f>IF(AG33="7",I33,0)</f>
        <v>0</v>
      </c>
      <c r="V33" s="61">
        <f>IF(AG33="2",H33,0)</f>
        <v>0</v>
      </c>
      <c r="W33" s="61">
        <f>IF(AG33="2",I33,0)</f>
        <v>0</v>
      </c>
      <c r="X33" s="61">
        <f>IF(AG33="0",J33,0)</f>
        <v>0</v>
      </c>
      <c r="Y33" s="50"/>
      <c r="Z33" s="34">
        <f>IF(AD33=0,J33,0)</f>
        <v>0</v>
      </c>
      <c r="AA33" s="34">
        <f>IF(AD33=15,J33,0)</f>
        <v>0</v>
      </c>
      <c r="AB33" s="34">
        <f>IF(AD33=21,J33,0)</f>
        <v>0</v>
      </c>
      <c r="AD33" s="61">
        <v>21</v>
      </c>
      <c r="AE33" s="61">
        <f>G33*0.870665277571067</f>
        <v>0</v>
      </c>
      <c r="AF33" s="61">
        <f>G33*(1-0.870665277571067)</f>
        <v>0</v>
      </c>
      <c r="AG33" s="56" t="s">
        <v>7</v>
      </c>
      <c r="AM33" s="61">
        <f>F33*AE33</f>
        <v>0</v>
      </c>
      <c r="AN33" s="61">
        <f>F33*AF33</f>
        <v>0</v>
      </c>
      <c r="AO33" s="62" t="s">
        <v>462</v>
      </c>
      <c r="AP33" s="62" t="s">
        <v>484</v>
      </c>
      <c r="AQ33" s="50" t="s">
        <v>493</v>
      </c>
      <c r="AS33" s="61">
        <f>AM33+AN33</f>
        <v>0</v>
      </c>
      <c r="AT33" s="61">
        <f>G33/(100-AU33)*100</f>
        <v>0</v>
      </c>
      <c r="AU33" s="61">
        <v>0</v>
      </c>
      <c r="AV33" s="61">
        <f>L33</f>
        <v>0.06678</v>
      </c>
    </row>
    <row r="34" ht="12.75">
      <c r="D34" s="28" t="s">
        <v>279</v>
      </c>
    </row>
    <row r="35" spans="1:37" ht="12.75">
      <c r="A35" s="11"/>
      <c r="B35" s="24"/>
      <c r="C35" s="24" t="s">
        <v>47</v>
      </c>
      <c r="D35" s="24" t="s">
        <v>281</v>
      </c>
      <c r="E35" s="32"/>
      <c r="F35" s="32"/>
      <c r="G35" s="32"/>
      <c r="H35" s="64">
        <f>SUM(H36:H36)</f>
        <v>0</v>
      </c>
      <c r="I35" s="64">
        <f>SUM(I36:I36)</f>
        <v>0</v>
      </c>
      <c r="J35" s="64">
        <f>H35+I35</f>
        <v>0</v>
      </c>
      <c r="K35" s="50"/>
      <c r="L35" s="64">
        <f>SUM(L36:L36)</f>
        <v>4.292991300000001</v>
      </c>
      <c r="M35" s="50"/>
      <c r="Y35" s="50"/>
      <c r="AI35" s="64">
        <f>SUM(Z36:Z36)</f>
        <v>0</v>
      </c>
      <c r="AJ35" s="64">
        <f>SUM(AA36:AA36)</f>
        <v>0</v>
      </c>
      <c r="AK35" s="64">
        <f>SUM(AB36:AB36)</f>
        <v>0</v>
      </c>
    </row>
    <row r="36" spans="1:48" ht="12.75">
      <c r="A36" s="10" t="s">
        <v>20</v>
      </c>
      <c r="B36" s="10"/>
      <c r="C36" s="10" t="s">
        <v>140</v>
      </c>
      <c r="D36" s="10" t="s">
        <v>282</v>
      </c>
      <c r="E36" s="10" t="s">
        <v>429</v>
      </c>
      <c r="F36" s="34">
        <v>161.33</v>
      </c>
      <c r="G36" s="34">
        <v>0</v>
      </c>
      <c r="H36" s="34">
        <f>F36*AE36</f>
        <v>0</v>
      </c>
      <c r="I36" s="34">
        <f>J36-H36</f>
        <v>0</v>
      </c>
      <c r="J36" s="34">
        <f>F36*G36</f>
        <v>0</v>
      </c>
      <c r="K36" s="34">
        <v>0.02661</v>
      </c>
      <c r="L36" s="34">
        <f>F36*K36</f>
        <v>4.292991300000001</v>
      </c>
      <c r="M36" s="56" t="s">
        <v>450</v>
      </c>
      <c r="P36" s="61">
        <f>IF(AG36="5",J36,0)</f>
        <v>0</v>
      </c>
      <c r="R36" s="61">
        <f>IF(AG36="1",H36,0)</f>
        <v>0</v>
      </c>
      <c r="S36" s="61">
        <f>IF(AG36="1",I36,0)</f>
        <v>0</v>
      </c>
      <c r="T36" s="61">
        <f>IF(AG36="7",H36,0)</f>
        <v>0</v>
      </c>
      <c r="U36" s="61">
        <f>IF(AG36="7",I36,0)</f>
        <v>0</v>
      </c>
      <c r="V36" s="61">
        <f>IF(AG36="2",H36,0)</f>
        <v>0</v>
      </c>
      <c r="W36" s="61">
        <f>IF(AG36="2",I36,0)</f>
        <v>0</v>
      </c>
      <c r="X36" s="61">
        <f>IF(AG36="0",J36,0)</f>
        <v>0</v>
      </c>
      <c r="Y36" s="50"/>
      <c r="Z36" s="34">
        <f>IF(AD36=0,J36,0)</f>
        <v>0</v>
      </c>
      <c r="AA36" s="34">
        <f>IF(AD36=15,J36,0)</f>
        <v>0</v>
      </c>
      <c r="AB36" s="34">
        <f>IF(AD36=21,J36,0)</f>
        <v>0</v>
      </c>
      <c r="AD36" s="61">
        <v>21</v>
      </c>
      <c r="AE36" s="61">
        <f>G36*0.42489415962111</f>
        <v>0</v>
      </c>
      <c r="AF36" s="61">
        <f>G36*(1-0.42489415962111)</f>
        <v>0</v>
      </c>
      <c r="AG36" s="56" t="s">
        <v>7</v>
      </c>
      <c r="AM36" s="61">
        <f>F36*AE36</f>
        <v>0</v>
      </c>
      <c r="AN36" s="61">
        <f>F36*AF36</f>
        <v>0</v>
      </c>
      <c r="AO36" s="62" t="s">
        <v>463</v>
      </c>
      <c r="AP36" s="62" t="s">
        <v>485</v>
      </c>
      <c r="AQ36" s="50" t="s">
        <v>493</v>
      </c>
      <c r="AS36" s="61">
        <f>AM36+AN36</f>
        <v>0</v>
      </c>
      <c r="AT36" s="61">
        <f>G36/(100-AU36)*100</f>
        <v>0</v>
      </c>
      <c r="AU36" s="61">
        <v>0</v>
      </c>
      <c r="AV36" s="61">
        <f>L36</f>
        <v>4.292991300000001</v>
      </c>
    </row>
    <row r="37" spans="1:37" ht="12.75">
      <c r="A37" s="11"/>
      <c r="B37" s="24"/>
      <c r="C37" s="24" t="s">
        <v>67</v>
      </c>
      <c r="D37" s="24" t="s">
        <v>283</v>
      </c>
      <c r="E37" s="32"/>
      <c r="F37" s="32"/>
      <c r="G37" s="32"/>
      <c r="H37" s="64">
        <f>SUM(H38:H41)</f>
        <v>0</v>
      </c>
      <c r="I37" s="64">
        <f>SUM(I38:I41)</f>
        <v>0</v>
      </c>
      <c r="J37" s="64">
        <f>H37+I37</f>
        <v>0</v>
      </c>
      <c r="K37" s="50"/>
      <c r="L37" s="64">
        <f>SUM(L38:L41)</f>
        <v>63.6105858</v>
      </c>
      <c r="M37" s="50"/>
      <c r="Y37" s="50"/>
      <c r="AI37" s="64">
        <f>SUM(Z38:Z41)</f>
        <v>0</v>
      </c>
      <c r="AJ37" s="64">
        <f>SUM(AA38:AA41)</f>
        <v>0</v>
      </c>
      <c r="AK37" s="64">
        <f>SUM(AB38:AB41)</f>
        <v>0</v>
      </c>
    </row>
    <row r="38" spans="1:48" ht="12.75">
      <c r="A38" s="10" t="s">
        <v>21</v>
      </c>
      <c r="B38" s="10"/>
      <c r="C38" s="10" t="s">
        <v>141</v>
      </c>
      <c r="D38" s="10" t="s">
        <v>284</v>
      </c>
      <c r="E38" s="10" t="s">
        <v>429</v>
      </c>
      <c r="F38" s="34">
        <v>1332.73</v>
      </c>
      <c r="G38" s="34">
        <v>0</v>
      </c>
      <c r="H38" s="34">
        <f>F38*AE38</f>
        <v>0</v>
      </c>
      <c r="I38" s="34">
        <f>J38-H38</f>
        <v>0</v>
      </c>
      <c r="J38" s="34">
        <f>F38*G38</f>
        <v>0</v>
      </c>
      <c r="K38" s="34">
        <v>0.04766</v>
      </c>
      <c r="L38" s="34">
        <f>F38*K38</f>
        <v>63.5179118</v>
      </c>
      <c r="M38" s="56" t="s">
        <v>449</v>
      </c>
      <c r="P38" s="61">
        <f>IF(AG38="5",J38,0)</f>
        <v>0</v>
      </c>
      <c r="R38" s="61">
        <f>IF(AG38="1",H38,0)</f>
        <v>0</v>
      </c>
      <c r="S38" s="61">
        <f>IF(AG38="1",I38,0)</f>
        <v>0</v>
      </c>
      <c r="T38" s="61">
        <f>IF(AG38="7",H38,0)</f>
        <v>0</v>
      </c>
      <c r="U38" s="61">
        <f>IF(AG38="7",I38,0)</f>
        <v>0</v>
      </c>
      <c r="V38" s="61">
        <f>IF(AG38="2",H38,0)</f>
        <v>0</v>
      </c>
      <c r="W38" s="61">
        <f>IF(AG38="2",I38,0)</f>
        <v>0</v>
      </c>
      <c r="X38" s="61">
        <f>IF(AG38="0",J38,0)</f>
        <v>0</v>
      </c>
      <c r="Y38" s="50"/>
      <c r="Z38" s="34">
        <f>IF(AD38=0,J38,0)</f>
        <v>0</v>
      </c>
      <c r="AA38" s="34">
        <f>IF(AD38=15,J38,0)</f>
        <v>0</v>
      </c>
      <c r="AB38" s="34">
        <f>IF(AD38=21,J38,0)</f>
        <v>0</v>
      </c>
      <c r="AD38" s="61">
        <v>21</v>
      </c>
      <c r="AE38" s="61">
        <f>G38*0.168022388059701</f>
        <v>0</v>
      </c>
      <c r="AF38" s="61">
        <f>G38*(1-0.168022388059701)</f>
        <v>0</v>
      </c>
      <c r="AG38" s="56" t="s">
        <v>7</v>
      </c>
      <c r="AM38" s="61">
        <f>F38*AE38</f>
        <v>0</v>
      </c>
      <c r="AN38" s="61">
        <f>F38*AF38</f>
        <v>0</v>
      </c>
      <c r="AO38" s="62" t="s">
        <v>464</v>
      </c>
      <c r="AP38" s="62" t="s">
        <v>486</v>
      </c>
      <c r="AQ38" s="50" t="s">
        <v>493</v>
      </c>
      <c r="AS38" s="61">
        <f>AM38+AN38</f>
        <v>0</v>
      </c>
      <c r="AT38" s="61">
        <f>G38/(100-AU38)*100</f>
        <v>0</v>
      </c>
      <c r="AU38" s="61">
        <v>0</v>
      </c>
      <c r="AV38" s="61">
        <f>L38</f>
        <v>63.5179118</v>
      </c>
    </row>
    <row r="39" spans="1:48" ht="12.75">
      <c r="A39" s="10" t="s">
        <v>22</v>
      </c>
      <c r="B39" s="10"/>
      <c r="C39" s="10" t="s">
        <v>142</v>
      </c>
      <c r="D39" s="10" t="s">
        <v>285</v>
      </c>
      <c r="E39" s="10" t="s">
        <v>426</v>
      </c>
      <c r="F39" s="34">
        <v>22.3</v>
      </c>
      <c r="G39" s="34">
        <v>0</v>
      </c>
      <c r="H39" s="34">
        <f>F39*AE39</f>
        <v>0</v>
      </c>
      <c r="I39" s="34">
        <f>J39-H39</f>
        <v>0</v>
      </c>
      <c r="J39" s="34">
        <f>F39*G39</f>
        <v>0</v>
      </c>
      <c r="K39" s="34">
        <v>0.00238</v>
      </c>
      <c r="L39" s="34">
        <f>F39*K39</f>
        <v>0.053074</v>
      </c>
      <c r="M39" s="56" t="s">
        <v>449</v>
      </c>
      <c r="P39" s="61">
        <f>IF(AG39="5",J39,0)</f>
        <v>0</v>
      </c>
      <c r="R39" s="61">
        <f>IF(AG39="1",H39,0)</f>
        <v>0</v>
      </c>
      <c r="S39" s="61">
        <f>IF(AG39="1",I39,0)</f>
        <v>0</v>
      </c>
      <c r="T39" s="61">
        <f>IF(AG39="7",H39,0)</f>
        <v>0</v>
      </c>
      <c r="U39" s="61">
        <f>IF(AG39="7",I39,0)</f>
        <v>0</v>
      </c>
      <c r="V39" s="61">
        <f>IF(AG39="2",H39,0)</f>
        <v>0</v>
      </c>
      <c r="W39" s="61">
        <f>IF(AG39="2",I39,0)</f>
        <v>0</v>
      </c>
      <c r="X39" s="61">
        <f>IF(AG39="0",J39,0)</f>
        <v>0</v>
      </c>
      <c r="Y39" s="50"/>
      <c r="Z39" s="34">
        <f>IF(AD39=0,J39,0)</f>
        <v>0</v>
      </c>
      <c r="AA39" s="34">
        <f>IF(AD39=15,J39,0)</f>
        <v>0</v>
      </c>
      <c r="AB39" s="34">
        <f>IF(AD39=21,J39,0)</f>
        <v>0</v>
      </c>
      <c r="AD39" s="61">
        <v>21</v>
      </c>
      <c r="AE39" s="61">
        <f>G39*0.133831642641039</f>
        <v>0</v>
      </c>
      <c r="AF39" s="61">
        <f>G39*(1-0.133831642641039)</f>
        <v>0</v>
      </c>
      <c r="AG39" s="56" t="s">
        <v>7</v>
      </c>
      <c r="AM39" s="61">
        <f>F39*AE39</f>
        <v>0</v>
      </c>
      <c r="AN39" s="61">
        <f>F39*AF39</f>
        <v>0</v>
      </c>
      <c r="AO39" s="62" t="s">
        <v>464</v>
      </c>
      <c r="AP39" s="62" t="s">
        <v>486</v>
      </c>
      <c r="AQ39" s="50" t="s">
        <v>493</v>
      </c>
      <c r="AS39" s="61">
        <f>AM39+AN39</f>
        <v>0</v>
      </c>
      <c r="AT39" s="61">
        <f>G39/(100-AU39)*100</f>
        <v>0</v>
      </c>
      <c r="AU39" s="61">
        <v>0</v>
      </c>
      <c r="AV39" s="61">
        <f>L39</f>
        <v>0.053074</v>
      </c>
    </row>
    <row r="40" ht="12.75">
      <c r="D40" s="28" t="s">
        <v>286</v>
      </c>
    </row>
    <row r="41" spans="1:48" ht="12.75">
      <c r="A41" s="10" t="s">
        <v>23</v>
      </c>
      <c r="B41" s="10"/>
      <c r="C41" s="10" t="s">
        <v>143</v>
      </c>
      <c r="D41" s="10" t="s">
        <v>287</v>
      </c>
      <c r="E41" s="10" t="s">
        <v>429</v>
      </c>
      <c r="F41" s="34">
        <v>20</v>
      </c>
      <c r="G41" s="34">
        <v>0</v>
      </c>
      <c r="H41" s="34">
        <f>F41*AE41</f>
        <v>0</v>
      </c>
      <c r="I41" s="34">
        <f>J41-H41</f>
        <v>0</v>
      </c>
      <c r="J41" s="34">
        <f>F41*G41</f>
        <v>0</v>
      </c>
      <c r="K41" s="34">
        <v>0.00198</v>
      </c>
      <c r="L41" s="34">
        <f>F41*K41</f>
        <v>0.039599999999999996</v>
      </c>
      <c r="M41" s="56" t="s">
        <v>449</v>
      </c>
      <c r="P41" s="61">
        <f>IF(AG41="5",J41,0)</f>
        <v>0</v>
      </c>
      <c r="R41" s="61">
        <f>IF(AG41="1",H41,0)</f>
        <v>0</v>
      </c>
      <c r="S41" s="61">
        <f>IF(AG41="1",I41,0)</f>
        <v>0</v>
      </c>
      <c r="T41" s="61">
        <f>IF(AG41="7",H41,0)</f>
        <v>0</v>
      </c>
      <c r="U41" s="61">
        <f>IF(AG41="7",I41,0)</f>
        <v>0</v>
      </c>
      <c r="V41" s="61">
        <f>IF(AG41="2",H41,0)</f>
        <v>0</v>
      </c>
      <c r="W41" s="61">
        <f>IF(AG41="2",I41,0)</f>
        <v>0</v>
      </c>
      <c r="X41" s="61">
        <f>IF(AG41="0",J41,0)</f>
        <v>0</v>
      </c>
      <c r="Y41" s="50"/>
      <c r="Z41" s="34">
        <f>IF(AD41=0,J41,0)</f>
        <v>0</v>
      </c>
      <c r="AA41" s="34">
        <f>IF(AD41=15,J41,0)</f>
        <v>0</v>
      </c>
      <c r="AB41" s="34">
        <f>IF(AD41=21,J41,0)</f>
        <v>0</v>
      </c>
      <c r="AD41" s="61">
        <v>21</v>
      </c>
      <c r="AE41" s="61">
        <f>G41*0.0979585377433138</f>
        <v>0</v>
      </c>
      <c r="AF41" s="61">
        <f>G41*(1-0.0979585377433138)</f>
        <v>0</v>
      </c>
      <c r="AG41" s="56" t="s">
        <v>7</v>
      </c>
      <c r="AM41" s="61">
        <f>F41*AE41</f>
        <v>0</v>
      </c>
      <c r="AN41" s="61">
        <f>F41*AF41</f>
        <v>0</v>
      </c>
      <c r="AO41" s="62" t="s">
        <v>464</v>
      </c>
      <c r="AP41" s="62" t="s">
        <v>486</v>
      </c>
      <c r="AQ41" s="50" t="s">
        <v>493</v>
      </c>
      <c r="AS41" s="61">
        <f>AM41+AN41</f>
        <v>0</v>
      </c>
      <c r="AT41" s="61">
        <f>G41/(100-AU41)*100</f>
        <v>0</v>
      </c>
      <c r="AU41" s="61">
        <v>0</v>
      </c>
      <c r="AV41" s="61">
        <f>L41</f>
        <v>0.039599999999999996</v>
      </c>
    </row>
    <row r="42" ht="12.75">
      <c r="D42" s="28" t="s">
        <v>286</v>
      </c>
    </row>
    <row r="43" spans="1:37" ht="12.75">
      <c r="A43" s="11"/>
      <c r="B43" s="24"/>
      <c r="C43" s="24" t="s">
        <v>68</v>
      </c>
      <c r="D43" s="24" t="s">
        <v>288</v>
      </c>
      <c r="E43" s="32"/>
      <c r="F43" s="32"/>
      <c r="G43" s="32"/>
      <c r="H43" s="64">
        <f>SUM(H44:H48)</f>
        <v>0</v>
      </c>
      <c r="I43" s="64">
        <f>SUM(I44:I48)</f>
        <v>0</v>
      </c>
      <c r="J43" s="64">
        <f>H43+I43</f>
        <v>0</v>
      </c>
      <c r="K43" s="50"/>
      <c r="L43" s="64">
        <f>SUM(L44:L48)</f>
        <v>0.3447346</v>
      </c>
      <c r="M43" s="50"/>
      <c r="Y43" s="50"/>
      <c r="AI43" s="64">
        <f>SUM(Z44:Z48)</f>
        <v>0</v>
      </c>
      <c r="AJ43" s="64">
        <f>SUM(AA44:AA48)</f>
        <v>0</v>
      </c>
      <c r="AK43" s="64">
        <f>SUM(AB44:AB48)</f>
        <v>0</v>
      </c>
    </row>
    <row r="44" spans="1:48" ht="12.75">
      <c r="A44" s="10" t="s">
        <v>24</v>
      </c>
      <c r="B44" s="10"/>
      <c r="C44" s="10" t="s">
        <v>144</v>
      </c>
      <c r="D44" s="10" t="s">
        <v>289</v>
      </c>
      <c r="E44" s="10" t="s">
        <v>429</v>
      </c>
      <c r="F44" s="34">
        <v>15.08</v>
      </c>
      <c r="G44" s="34">
        <v>0</v>
      </c>
      <c r="H44" s="34">
        <f>F44*AE44</f>
        <v>0</v>
      </c>
      <c r="I44" s="34">
        <f>J44-H44</f>
        <v>0</v>
      </c>
      <c r="J44" s="34">
        <f>F44*G44</f>
        <v>0</v>
      </c>
      <c r="K44" s="34">
        <v>0.01013</v>
      </c>
      <c r="L44" s="34">
        <f>F44*K44</f>
        <v>0.1527604</v>
      </c>
      <c r="M44" s="56" t="s">
        <v>449</v>
      </c>
      <c r="P44" s="61">
        <f>IF(AG44="5",J44,0)</f>
        <v>0</v>
      </c>
      <c r="R44" s="61">
        <f>IF(AG44="1",H44,0)</f>
        <v>0</v>
      </c>
      <c r="S44" s="61">
        <f>IF(AG44="1",I44,0)</f>
        <v>0</v>
      </c>
      <c r="T44" s="61">
        <f>IF(AG44="7",H44,0)</f>
        <v>0</v>
      </c>
      <c r="U44" s="61">
        <f>IF(AG44="7",I44,0)</f>
        <v>0</v>
      </c>
      <c r="V44" s="61">
        <f>IF(AG44="2",H44,0)</f>
        <v>0</v>
      </c>
      <c r="W44" s="61">
        <f>IF(AG44="2",I44,0)</f>
        <v>0</v>
      </c>
      <c r="X44" s="61">
        <f>IF(AG44="0",J44,0)</f>
        <v>0</v>
      </c>
      <c r="Y44" s="50"/>
      <c r="Z44" s="34">
        <f>IF(AD44=0,J44,0)</f>
        <v>0</v>
      </c>
      <c r="AA44" s="34">
        <f>IF(AD44=15,J44,0)</f>
        <v>0</v>
      </c>
      <c r="AB44" s="34">
        <f>IF(AD44=21,J44,0)</f>
        <v>0</v>
      </c>
      <c r="AD44" s="61">
        <v>21</v>
      </c>
      <c r="AE44" s="61">
        <f>G44*0.495903790087464</f>
        <v>0</v>
      </c>
      <c r="AF44" s="61">
        <f>G44*(1-0.495903790087464)</f>
        <v>0</v>
      </c>
      <c r="AG44" s="56" t="s">
        <v>7</v>
      </c>
      <c r="AM44" s="61">
        <f>F44*AE44</f>
        <v>0</v>
      </c>
      <c r="AN44" s="61">
        <f>F44*AF44</f>
        <v>0</v>
      </c>
      <c r="AO44" s="62" t="s">
        <v>465</v>
      </c>
      <c r="AP44" s="62" t="s">
        <v>486</v>
      </c>
      <c r="AQ44" s="50" t="s">
        <v>493</v>
      </c>
      <c r="AS44" s="61">
        <f>AM44+AN44</f>
        <v>0</v>
      </c>
      <c r="AT44" s="61">
        <f>G44/(100-AU44)*100</f>
        <v>0</v>
      </c>
      <c r="AU44" s="61">
        <v>0</v>
      </c>
      <c r="AV44" s="61">
        <f>L44</f>
        <v>0.1527604</v>
      </c>
    </row>
    <row r="45" ht="12.75">
      <c r="D45" s="28" t="s">
        <v>290</v>
      </c>
    </row>
    <row r="46" spans="1:48" ht="12.75">
      <c r="A46" s="10" t="s">
        <v>25</v>
      </c>
      <c r="B46" s="10"/>
      <c r="C46" s="10" t="s">
        <v>145</v>
      </c>
      <c r="D46" s="10" t="s">
        <v>291</v>
      </c>
      <c r="E46" s="10" t="s">
        <v>429</v>
      </c>
      <c r="F46" s="34">
        <v>13.05</v>
      </c>
      <c r="G46" s="34">
        <v>0</v>
      </c>
      <c r="H46" s="34">
        <f>F46*AE46</f>
        <v>0</v>
      </c>
      <c r="I46" s="34">
        <f>J46-H46</f>
        <v>0</v>
      </c>
      <c r="J46" s="34">
        <f>F46*G46</f>
        <v>0</v>
      </c>
      <c r="K46" s="34">
        <v>0.01262</v>
      </c>
      <c r="L46" s="34">
        <f>F46*K46</f>
        <v>0.164691</v>
      </c>
      <c r="M46" s="56" t="s">
        <v>449</v>
      </c>
      <c r="P46" s="61">
        <f>IF(AG46="5",J46,0)</f>
        <v>0</v>
      </c>
      <c r="R46" s="61">
        <f>IF(AG46="1",H46,0)</f>
        <v>0</v>
      </c>
      <c r="S46" s="61">
        <f>IF(AG46="1",I46,0)</f>
        <v>0</v>
      </c>
      <c r="T46" s="61">
        <f>IF(AG46="7",H46,0)</f>
        <v>0</v>
      </c>
      <c r="U46" s="61">
        <f>IF(AG46="7",I46,0)</f>
        <v>0</v>
      </c>
      <c r="V46" s="61">
        <f>IF(AG46="2",H46,0)</f>
        <v>0</v>
      </c>
      <c r="W46" s="61">
        <f>IF(AG46="2",I46,0)</f>
        <v>0</v>
      </c>
      <c r="X46" s="61">
        <f>IF(AG46="0",J46,0)</f>
        <v>0</v>
      </c>
      <c r="Y46" s="50"/>
      <c r="Z46" s="34">
        <f>IF(AD46=0,J46,0)</f>
        <v>0</v>
      </c>
      <c r="AA46" s="34">
        <f>IF(AD46=15,J46,0)</f>
        <v>0</v>
      </c>
      <c r="AB46" s="34">
        <f>IF(AD46=21,J46,0)</f>
        <v>0</v>
      </c>
      <c r="AD46" s="61">
        <v>21</v>
      </c>
      <c r="AE46" s="61">
        <f>G46*0.570205627705628</f>
        <v>0</v>
      </c>
      <c r="AF46" s="61">
        <f>G46*(1-0.570205627705628)</f>
        <v>0</v>
      </c>
      <c r="AG46" s="56" t="s">
        <v>7</v>
      </c>
      <c r="AM46" s="61">
        <f>F46*AE46</f>
        <v>0</v>
      </c>
      <c r="AN46" s="61">
        <f>F46*AF46</f>
        <v>0</v>
      </c>
      <c r="AO46" s="62" t="s">
        <v>465</v>
      </c>
      <c r="AP46" s="62" t="s">
        <v>486</v>
      </c>
      <c r="AQ46" s="50" t="s">
        <v>493</v>
      </c>
      <c r="AS46" s="61">
        <f>AM46+AN46</f>
        <v>0</v>
      </c>
      <c r="AT46" s="61">
        <f>G46/(100-AU46)*100</f>
        <v>0</v>
      </c>
      <c r="AU46" s="61">
        <v>0</v>
      </c>
      <c r="AV46" s="61">
        <f>L46</f>
        <v>0.164691</v>
      </c>
    </row>
    <row r="47" ht="12.75">
      <c r="D47" s="28" t="s">
        <v>292</v>
      </c>
    </row>
    <row r="48" spans="1:48" ht="12.75">
      <c r="A48" s="10" t="s">
        <v>26</v>
      </c>
      <c r="B48" s="10"/>
      <c r="C48" s="10" t="s">
        <v>146</v>
      </c>
      <c r="D48" s="10" t="s">
        <v>293</v>
      </c>
      <c r="E48" s="10" t="s">
        <v>429</v>
      </c>
      <c r="F48" s="34">
        <v>2.03</v>
      </c>
      <c r="G48" s="34">
        <v>0</v>
      </c>
      <c r="H48" s="34">
        <f>F48*AE48</f>
        <v>0</v>
      </c>
      <c r="I48" s="34">
        <f>J48-H48</f>
        <v>0</v>
      </c>
      <c r="J48" s="34">
        <f>F48*G48</f>
        <v>0</v>
      </c>
      <c r="K48" s="34">
        <v>0.01344</v>
      </c>
      <c r="L48" s="34">
        <f>F48*K48</f>
        <v>0.027283199999999997</v>
      </c>
      <c r="M48" s="56" t="s">
        <v>449</v>
      </c>
      <c r="P48" s="61">
        <f>IF(AG48="5",J48,0)</f>
        <v>0</v>
      </c>
      <c r="R48" s="61">
        <f>IF(AG48="1",H48,0)</f>
        <v>0</v>
      </c>
      <c r="S48" s="61">
        <f>IF(AG48="1",I48,0)</f>
        <v>0</v>
      </c>
      <c r="T48" s="61">
        <f>IF(AG48="7",H48,0)</f>
        <v>0</v>
      </c>
      <c r="U48" s="61">
        <f>IF(AG48="7",I48,0)</f>
        <v>0</v>
      </c>
      <c r="V48" s="61">
        <f>IF(AG48="2",H48,0)</f>
        <v>0</v>
      </c>
      <c r="W48" s="61">
        <f>IF(AG48="2",I48,0)</f>
        <v>0</v>
      </c>
      <c r="X48" s="61">
        <f>IF(AG48="0",J48,0)</f>
        <v>0</v>
      </c>
      <c r="Y48" s="50"/>
      <c r="Z48" s="34">
        <f>IF(AD48=0,J48,0)</f>
        <v>0</v>
      </c>
      <c r="AA48" s="34">
        <f>IF(AD48=15,J48,0)</f>
        <v>0</v>
      </c>
      <c r="AB48" s="34">
        <f>IF(AD48=21,J48,0)</f>
        <v>0</v>
      </c>
      <c r="AD48" s="61">
        <v>21</v>
      </c>
      <c r="AE48" s="61">
        <f>G48*0.406783528138669</f>
        <v>0</v>
      </c>
      <c r="AF48" s="61">
        <f>G48*(1-0.406783528138669)</f>
        <v>0</v>
      </c>
      <c r="AG48" s="56" t="s">
        <v>7</v>
      </c>
      <c r="AM48" s="61">
        <f>F48*AE48</f>
        <v>0</v>
      </c>
      <c r="AN48" s="61">
        <f>F48*AF48</f>
        <v>0</v>
      </c>
      <c r="AO48" s="62" t="s">
        <v>465</v>
      </c>
      <c r="AP48" s="62" t="s">
        <v>486</v>
      </c>
      <c r="AQ48" s="50" t="s">
        <v>493</v>
      </c>
      <c r="AS48" s="61">
        <f>AM48+AN48</f>
        <v>0</v>
      </c>
      <c r="AT48" s="61">
        <f>G48/(100-AU48)*100</f>
        <v>0</v>
      </c>
      <c r="AU48" s="61">
        <v>0</v>
      </c>
      <c r="AV48" s="61">
        <f>L48</f>
        <v>0.027283199999999997</v>
      </c>
    </row>
    <row r="49" ht="12.75">
      <c r="D49" s="28" t="s">
        <v>294</v>
      </c>
    </row>
    <row r="50" spans="1:37" ht="12.75">
      <c r="A50" s="11"/>
      <c r="B50" s="24"/>
      <c r="C50" s="24" t="s">
        <v>70</v>
      </c>
      <c r="D50" s="24" t="s">
        <v>295</v>
      </c>
      <c r="E50" s="32"/>
      <c r="F50" s="32"/>
      <c r="G50" s="32"/>
      <c r="H50" s="64">
        <f>SUM(H51:H73)</f>
        <v>0</v>
      </c>
      <c r="I50" s="64">
        <f>SUM(I51:I73)</f>
        <v>0</v>
      </c>
      <c r="J50" s="64">
        <f>H50+I50</f>
        <v>0</v>
      </c>
      <c r="K50" s="50"/>
      <c r="L50" s="64">
        <f>SUM(L51:L73)</f>
        <v>8.241554</v>
      </c>
      <c r="M50" s="50"/>
      <c r="Y50" s="50"/>
      <c r="AI50" s="64">
        <f>SUM(Z51:Z73)</f>
        <v>0</v>
      </c>
      <c r="AJ50" s="64">
        <f>SUM(AA51:AA73)</f>
        <v>0</v>
      </c>
      <c r="AK50" s="64">
        <f>SUM(AB51:AB73)</f>
        <v>0</v>
      </c>
    </row>
    <row r="51" spans="1:48" ht="12.75">
      <c r="A51" s="10" t="s">
        <v>27</v>
      </c>
      <c r="B51" s="10"/>
      <c r="C51" s="10" t="s">
        <v>147</v>
      </c>
      <c r="D51" s="10" t="s">
        <v>296</v>
      </c>
      <c r="E51" s="10" t="s">
        <v>430</v>
      </c>
      <c r="F51" s="34">
        <v>23</v>
      </c>
      <c r="G51" s="34">
        <v>0</v>
      </c>
      <c r="H51" s="34">
        <f>F51*AE51</f>
        <v>0</v>
      </c>
      <c r="I51" s="34">
        <f>J51-H51</f>
        <v>0</v>
      </c>
      <c r="J51" s="34">
        <f>F51*G51</f>
        <v>0</v>
      </c>
      <c r="K51" s="34">
        <v>0.03055</v>
      </c>
      <c r="L51" s="34">
        <f>F51*K51</f>
        <v>0.70265</v>
      </c>
      <c r="M51" s="56" t="s">
        <v>449</v>
      </c>
      <c r="P51" s="61">
        <f>IF(AG51="5",J51,0)</f>
        <v>0</v>
      </c>
      <c r="R51" s="61">
        <f>IF(AG51="1",H51,0)</f>
        <v>0</v>
      </c>
      <c r="S51" s="61">
        <f>IF(AG51="1",I51,0)</f>
        <v>0</v>
      </c>
      <c r="T51" s="61">
        <f>IF(AG51="7",H51,0)</f>
        <v>0</v>
      </c>
      <c r="U51" s="61">
        <f>IF(AG51="7",I51,0)</f>
        <v>0</v>
      </c>
      <c r="V51" s="61">
        <f>IF(AG51="2",H51,0)</f>
        <v>0</v>
      </c>
      <c r="W51" s="61">
        <f>IF(AG51="2",I51,0)</f>
        <v>0</v>
      </c>
      <c r="X51" s="61">
        <f>IF(AG51="0",J51,0)</f>
        <v>0</v>
      </c>
      <c r="Y51" s="50"/>
      <c r="Z51" s="34">
        <f>IF(AD51=0,J51,0)</f>
        <v>0</v>
      </c>
      <c r="AA51" s="34">
        <f>IF(AD51=15,J51,0)</f>
        <v>0</v>
      </c>
      <c r="AB51" s="34">
        <f>IF(AD51=21,J51,0)</f>
        <v>0</v>
      </c>
      <c r="AD51" s="61">
        <v>21</v>
      </c>
      <c r="AE51" s="61">
        <f>G51*0.536018451357365</f>
        <v>0</v>
      </c>
      <c r="AF51" s="61">
        <f>G51*(1-0.536018451357365)</f>
        <v>0</v>
      </c>
      <c r="AG51" s="56" t="s">
        <v>7</v>
      </c>
      <c r="AM51" s="61">
        <f>F51*AE51</f>
        <v>0</v>
      </c>
      <c r="AN51" s="61">
        <f>F51*AF51</f>
        <v>0</v>
      </c>
      <c r="AO51" s="62" t="s">
        <v>466</v>
      </c>
      <c r="AP51" s="62" t="s">
        <v>486</v>
      </c>
      <c r="AQ51" s="50" t="s">
        <v>493</v>
      </c>
      <c r="AS51" s="61">
        <f>AM51+AN51</f>
        <v>0</v>
      </c>
      <c r="AT51" s="61">
        <f>G51/(100-AU51)*100</f>
        <v>0</v>
      </c>
      <c r="AU51" s="61">
        <v>0</v>
      </c>
      <c r="AV51" s="61">
        <f>L51</f>
        <v>0.70265</v>
      </c>
    </row>
    <row r="52" ht="12.75">
      <c r="D52" s="28" t="s">
        <v>297</v>
      </c>
    </row>
    <row r="53" spans="1:48" ht="12.75">
      <c r="A53" s="10" t="s">
        <v>28</v>
      </c>
      <c r="B53" s="10"/>
      <c r="C53" s="10" t="s">
        <v>148</v>
      </c>
      <c r="D53" s="10" t="s">
        <v>298</v>
      </c>
      <c r="E53" s="10" t="s">
        <v>430</v>
      </c>
      <c r="F53" s="34">
        <v>29</v>
      </c>
      <c r="G53" s="34">
        <v>0</v>
      </c>
      <c r="H53" s="34">
        <f>F53*AE53</f>
        <v>0</v>
      </c>
      <c r="I53" s="34">
        <f>J53-H53</f>
        <v>0</v>
      </c>
      <c r="J53" s="34">
        <f>F53*G53</f>
        <v>0</v>
      </c>
      <c r="K53" s="34">
        <v>0.03083</v>
      </c>
      <c r="L53" s="34">
        <f>F53*K53</f>
        <v>0.89407</v>
      </c>
      <c r="M53" s="56" t="s">
        <v>449</v>
      </c>
      <c r="P53" s="61">
        <f>IF(AG53="5",J53,0)</f>
        <v>0</v>
      </c>
      <c r="R53" s="61">
        <f>IF(AG53="1",H53,0)</f>
        <v>0</v>
      </c>
      <c r="S53" s="61">
        <f>IF(AG53="1",I53,0)</f>
        <v>0</v>
      </c>
      <c r="T53" s="61">
        <f>IF(AG53="7",H53,0)</f>
        <v>0</v>
      </c>
      <c r="U53" s="61">
        <f>IF(AG53="7",I53,0)</f>
        <v>0</v>
      </c>
      <c r="V53" s="61">
        <f>IF(AG53="2",H53,0)</f>
        <v>0</v>
      </c>
      <c r="W53" s="61">
        <f>IF(AG53="2",I53,0)</f>
        <v>0</v>
      </c>
      <c r="X53" s="61">
        <f>IF(AG53="0",J53,0)</f>
        <v>0</v>
      </c>
      <c r="Y53" s="50"/>
      <c r="Z53" s="34">
        <f>IF(AD53=0,J53,0)</f>
        <v>0</v>
      </c>
      <c r="AA53" s="34">
        <f>IF(AD53=15,J53,0)</f>
        <v>0</v>
      </c>
      <c r="AB53" s="34">
        <f>IF(AD53=21,J53,0)</f>
        <v>0</v>
      </c>
      <c r="AD53" s="61">
        <v>21</v>
      </c>
      <c r="AE53" s="61">
        <f>G53*0.541252689341746</f>
        <v>0</v>
      </c>
      <c r="AF53" s="61">
        <f>G53*(1-0.541252689341746)</f>
        <v>0</v>
      </c>
      <c r="AG53" s="56" t="s">
        <v>7</v>
      </c>
      <c r="AM53" s="61">
        <f>F53*AE53</f>
        <v>0</v>
      </c>
      <c r="AN53" s="61">
        <f>F53*AF53</f>
        <v>0</v>
      </c>
      <c r="AO53" s="62" t="s">
        <v>466</v>
      </c>
      <c r="AP53" s="62" t="s">
        <v>486</v>
      </c>
      <c r="AQ53" s="50" t="s">
        <v>493</v>
      </c>
      <c r="AS53" s="61">
        <f>AM53+AN53</f>
        <v>0</v>
      </c>
      <c r="AT53" s="61">
        <f>G53/(100-AU53)*100</f>
        <v>0</v>
      </c>
      <c r="AU53" s="61">
        <v>0</v>
      </c>
      <c r="AV53" s="61">
        <f>L53</f>
        <v>0.89407</v>
      </c>
    </row>
    <row r="54" ht="12.75">
      <c r="D54" s="28" t="s">
        <v>299</v>
      </c>
    </row>
    <row r="55" spans="1:48" ht="12.75">
      <c r="A55" s="10" t="s">
        <v>29</v>
      </c>
      <c r="B55" s="10"/>
      <c r="C55" s="10" t="s">
        <v>149</v>
      </c>
      <c r="D55" s="10" t="s">
        <v>300</v>
      </c>
      <c r="E55" s="10" t="s">
        <v>430</v>
      </c>
      <c r="F55" s="34">
        <v>52</v>
      </c>
      <c r="G55" s="34">
        <v>0</v>
      </c>
      <c r="H55" s="34">
        <f>F55*AE55</f>
        <v>0</v>
      </c>
      <c r="I55" s="34">
        <f>J55-H55</f>
        <v>0</v>
      </c>
      <c r="J55" s="34">
        <f>F55*G55</f>
        <v>0</v>
      </c>
      <c r="K55" s="34">
        <v>0</v>
      </c>
      <c r="L55" s="34">
        <f>F55*K55</f>
        <v>0</v>
      </c>
      <c r="M55" s="56" t="s">
        <v>449</v>
      </c>
      <c r="P55" s="61">
        <f>IF(AG55="5",J55,0)</f>
        <v>0</v>
      </c>
      <c r="R55" s="61">
        <f>IF(AG55="1",H55,0)</f>
        <v>0</v>
      </c>
      <c r="S55" s="61">
        <f>IF(AG55="1",I55,0)</f>
        <v>0</v>
      </c>
      <c r="T55" s="61">
        <f>IF(AG55="7",H55,0)</f>
        <v>0</v>
      </c>
      <c r="U55" s="61">
        <f>IF(AG55="7",I55,0)</f>
        <v>0</v>
      </c>
      <c r="V55" s="61">
        <f>IF(AG55="2",H55,0)</f>
        <v>0</v>
      </c>
      <c r="W55" s="61">
        <f>IF(AG55="2",I55,0)</f>
        <v>0</v>
      </c>
      <c r="X55" s="61">
        <f>IF(AG55="0",J55,0)</f>
        <v>0</v>
      </c>
      <c r="Y55" s="50"/>
      <c r="Z55" s="34">
        <f>IF(AD55=0,J55,0)</f>
        <v>0</v>
      </c>
      <c r="AA55" s="34">
        <f>IF(AD55=15,J55,0)</f>
        <v>0</v>
      </c>
      <c r="AB55" s="34">
        <f>IF(AD55=21,J55,0)</f>
        <v>0</v>
      </c>
      <c r="AD55" s="61">
        <v>21</v>
      </c>
      <c r="AE55" s="61">
        <f>G55*0</f>
        <v>0</v>
      </c>
      <c r="AF55" s="61">
        <f>G55*(1-0)</f>
        <v>0</v>
      </c>
      <c r="AG55" s="56" t="s">
        <v>7</v>
      </c>
      <c r="AM55" s="61">
        <f>F55*AE55</f>
        <v>0</v>
      </c>
      <c r="AN55" s="61">
        <f>F55*AF55</f>
        <v>0</v>
      </c>
      <c r="AO55" s="62" t="s">
        <v>466</v>
      </c>
      <c r="AP55" s="62" t="s">
        <v>486</v>
      </c>
      <c r="AQ55" s="50" t="s">
        <v>493</v>
      </c>
      <c r="AS55" s="61">
        <f>AM55+AN55</f>
        <v>0</v>
      </c>
      <c r="AT55" s="61">
        <f>G55/(100-AU55)*100</f>
        <v>0</v>
      </c>
      <c r="AU55" s="61">
        <v>0</v>
      </c>
      <c r="AV55" s="61">
        <f>L55</f>
        <v>0</v>
      </c>
    </row>
    <row r="56" spans="1:48" ht="12.75">
      <c r="A56" s="12" t="s">
        <v>30</v>
      </c>
      <c r="B56" s="12"/>
      <c r="C56" s="12" t="s">
        <v>150</v>
      </c>
      <c r="D56" s="12" t="s">
        <v>301</v>
      </c>
      <c r="E56" s="12" t="s">
        <v>430</v>
      </c>
      <c r="F56" s="35">
        <v>23</v>
      </c>
      <c r="G56" s="35">
        <v>0</v>
      </c>
      <c r="H56" s="35">
        <f>F56*AE56</f>
        <v>0</v>
      </c>
      <c r="I56" s="35">
        <f>J56-H56</f>
        <v>0</v>
      </c>
      <c r="J56" s="35">
        <f>F56*G56</f>
        <v>0</v>
      </c>
      <c r="K56" s="35">
        <v>0.018</v>
      </c>
      <c r="L56" s="35">
        <f>F56*K56</f>
        <v>0.414</v>
      </c>
      <c r="M56" s="57" t="s">
        <v>449</v>
      </c>
      <c r="P56" s="61">
        <f>IF(AG56="5",J56,0)</f>
        <v>0</v>
      </c>
      <c r="R56" s="61">
        <f>IF(AG56="1",H56,0)</f>
        <v>0</v>
      </c>
      <c r="S56" s="61">
        <f>IF(AG56="1",I56,0)</f>
        <v>0</v>
      </c>
      <c r="T56" s="61">
        <f>IF(AG56="7",H56,0)</f>
        <v>0</v>
      </c>
      <c r="U56" s="61">
        <f>IF(AG56="7",I56,0)</f>
        <v>0</v>
      </c>
      <c r="V56" s="61">
        <f>IF(AG56="2",H56,0)</f>
        <v>0</v>
      </c>
      <c r="W56" s="61">
        <f>IF(AG56="2",I56,0)</f>
        <v>0</v>
      </c>
      <c r="X56" s="61">
        <f>IF(AG56="0",J56,0)</f>
        <v>0</v>
      </c>
      <c r="Y56" s="50"/>
      <c r="Z56" s="35">
        <f>IF(AD56=0,J56,0)</f>
        <v>0</v>
      </c>
      <c r="AA56" s="35">
        <f>IF(AD56=15,J56,0)</f>
        <v>0</v>
      </c>
      <c r="AB56" s="35">
        <f>IF(AD56=21,J56,0)</f>
        <v>0</v>
      </c>
      <c r="AD56" s="61">
        <v>21</v>
      </c>
      <c r="AE56" s="61">
        <f>G56*1</f>
        <v>0</v>
      </c>
      <c r="AF56" s="61">
        <f>G56*(1-1)</f>
        <v>0</v>
      </c>
      <c r="AG56" s="57" t="s">
        <v>7</v>
      </c>
      <c r="AM56" s="61">
        <f>F56*AE56</f>
        <v>0</v>
      </c>
      <c r="AN56" s="61">
        <f>F56*AF56</f>
        <v>0</v>
      </c>
      <c r="AO56" s="62" t="s">
        <v>466</v>
      </c>
      <c r="AP56" s="62" t="s">
        <v>486</v>
      </c>
      <c r="AQ56" s="50" t="s">
        <v>493</v>
      </c>
      <c r="AS56" s="61">
        <f>AM56+AN56</f>
        <v>0</v>
      </c>
      <c r="AT56" s="61">
        <f>G56/(100-AU56)*100</f>
        <v>0</v>
      </c>
      <c r="AU56" s="61">
        <v>0</v>
      </c>
      <c r="AV56" s="61">
        <f>L56</f>
        <v>0.414</v>
      </c>
    </row>
    <row r="57" spans="1:48" ht="12.75">
      <c r="A57" s="12" t="s">
        <v>31</v>
      </c>
      <c r="B57" s="12"/>
      <c r="C57" s="12" t="s">
        <v>151</v>
      </c>
      <c r="D57" s="12" t="s">
        <v>302</v>
      </c>
      <c r="E57" s="12" t="s">
        <v>430</v>
      </c>
      <c r="F57" s="35">
        <v>29</v>
      </c>
      <c r="G57" s="35">
        <v>0</v>
      </c>
      <c r="H57" s="35">
        <f>F57*AE57</f>
        <v>0</v>
      </c>
      <c r="I57" s="35">
        <f>J57-H57</f>
        <v>0</v>
      </c>
      <c r="J57" s="35">
        <f>F57*G57</f>
        <v>0</v>
      </c>
      <c r="K57" s="35">
        <v>0.02</v>
      </c>
      <c r="L57" s="35">
        <f>F57*K57</f>
        <v>0.58</v>
      </c>
      <c r="M57" s="57" t="s">
        <v>449</v>
      </c>
      <c r="P57" s="61">
        <f>IF(AG57="5",J57,0)</f>
        <v>0</v>
      </c>
      <c r="R57" s="61">
        <f>IF(AG57="1",H57,0)</f>
        <v>0</v>
      </c>
      <c r="S57" s="61">
        <f>IF(AG57="1",I57,0)</f>
        <v>0</v>
      </c>
      <c r="T57" s="61">
        <f>IF(AG57="7",H57,0)</f>
        <v>0</v>
      </c>
      <c r="U57" s="61">
        <f>IF(AG57="7",I57,0)</f>
        <v>0</v>
      </c>
      <c r="V57" s="61">
        <f>IF(AG57="2",H57,0)</f>
        <v>0</v>
      </c>
      <c r="W57" s="61">
        <f>IF(AG57="2",I57,0)</f>
        <v>0</v>
      </c>
      <c r="X57" s="61">
        <f>IF(AG57="0",J57,0)</f>
        <v>0</v>
      </c>
      <c r="Y57" s="50"/>
      <c r="Z57" s="35">
        <f>IF(AD57=0,J57,0)</f>
        <v>0</v>
      </c>
      <c r="AA57" s="35">
        <f>IF(AD57=15,J57,0)</f>
        <v>0</v>
      </c>
      <c r="AB57" s="35">
        <f>IF(AD57=21,J57,0)</f>
        <v>0</v>
      </c>
      <c r="AD57" s="61">
        <v>21</v>
      </c>
      <c r="AE57" s="61">
        <f>G57*1</f>
        <v>0</v>
      </c>
      <c r="AF57" s="61">
        <f>G57*(1-1)</f>
        <v>0</v>
      </c>
      <c r="AG57" s="57" t="s">
        <v>7</v>
      </c>
      <c r="AM57" s="61">
        <f>F57*AE57</f>
        <v>0</v>
      </c>
      <c r="AN57" s="61">
        <f>F57*AF57</f>
        <v>0</v>
      </c>
      <c r="AO57" s="62" t="s">
        <v>466</v>
      </c>
      <c r="AP57" s="62" t="s">
        <v>486</v>
      </c>
      <c r="AQ57" s="50" t="s">
        <v>493</v>
      </c>
      <c r="AS57" s="61">
        <f>AM57+AN57</f>
        <v>0</v>
      </c>
      <c r="AT57" s="61">
        <f>G57/(100-AU57)*100</f>
        <v>0</v>
      </c>
      <c r="AU57" s="61">
        <v>0</v>
      </c>
      <c r="AV57" s="61">
        <f>L57</f>
        <v>0.58</v>
      </c>
    </row>
    <row r="58" spans="1:48" ht="12.75">
      <c r="A58" s="10" t="s">
        <v>32</v>
      </c>
      <c r="B58" s="10"/>
      <c r="C58" s="10" t="s">
        <v>152</v>
      </c>
      <c r="D58" s="10" t="s">
        <v>303</v>
      </c>
      <c r="E58" s="10" t="s">
        <v>430</v>
      </c>
      <c r="F58" s="34">
        <v>16</v>
      </c>
      <c r="G58" s="34">
        <v>0</v>
      </c>
      <c r="H58" s="34">
        <f>F58*AE58</f>
        <v>0</v>
      </c>
      <c r="I58" s="34">
        <f>J58-H58</f>
        <v>0</v>
      </c>
      <c r="J58" s="34">
        <f>F58*G58</f>
        <v>0</v>
      </c>
      <c r="K58" s="34">
        <v>0.04275</v>
      </c>
      <c r="L58" s="34">
        <f>F58*K58</f>
        <v>0.684</v>
      </c>
      <c r="M58" s="56" t="s">
        <v>449</v>
      </c>
      <c r="P58" s="61">
        <f>IF(AG58="5",J58,0)</f>
        <v>0</v>
      </c>
      <c r="R58" s="61">
        <f>IF(AG58="1",H58,0)</f>
        <v>0</v>
      </c>
      <c r="S58" s="61">
        <f>IF(AG58="1",I58,0)</f>
        <v>0</v>
      </c>
      <c r="T58" s="61">
        <f>IF(AG58="7",H58,0)</f>
        <v>0</v>
      </c>
      <c r="U58" s="61">
        <f>IF(AG58="7",I58,0)</f>
        <v>0</v>
      </c>
      <c r="V58" s="61">
        <f>IF(AG58="2",H58,0)</f>
        <v>0</v>
      </c>
      <c r="W58" s="61">
        <f>IF(AG58="2",I58,0)</f>
        <v>0</v>
      </c>
      <c r="X58" s="61">
        <f>IF(AG58="0",J58,0)</f>
        <v>0</v>
      </c>
      <c r="Y58" s="50"/>
      <c r="Z58" s="34">
        <f>IF(AD58=0,J58,0)</f>
        <v>0</v>
      </c>
      <c r="AA58" s="34">
        <f>IF(AD58=15,J58,0)</f>
        <v>0</v>
      </c>
      <c r="AB58" s="34">
        <f>IF(AD58=21,J58,0)</f>
        <v>0</v>
      </c>
      <c r="AD58" s="61">
        <v>21</v>
      </c>
      <c r="AE58" s="61">
        <f>G58*0.935244382022472</f>
        <v>0</v>
      </c>
      <c r="AF58" s="61">
        <f>G58*(1-0.935244382022472)</f>
        <v>0</v>
      </c>
      <c r="AG58" s="56" t="s">
        <v>7</v>
      </c>
      <c r="AM58" s="61">
        <f>F58*AE58</f>
        <v>0</v>
      </c>
      <c r="AN58" s="61">
        <f>F58*AF58</f>
        <v>0</v>
      </c>
      <c r="AO58" s="62" t="s">
        <v>466</v>
      </c>
      <c r="AP58" s="62" t="s">
        <v>486</v>
      </c>
      <c r="AQ58" s="50" t="s">
        <v>493</v>
      </c>
      <c r="AS58" s="61">
        <f>AM58+AN58</f>
        <v>0</v>
      </c>
      <c r="AT58" s="61">
        <f>G58/(100-AU58)*100</f>
        <v>0</v>
      </c>
      <c r="AU58" s="61">
        <v>0</v>
      </c>
      <c r="AV58" s="61">
        <f>L58</f>
        <v>0.684</v>
      </c>
    </row>
    <row r="59" ht="12.75">
      <c r="D59" s="28" t="s">
        <v>304</v>
      </c>
    </row>
    <row r="60" spans="1:48" ht="12.75">
      <c r="A60" s="10" t="s">
        <v>33</v>
      </c>
      <c r="B60" s="10"/>
      <c r="C60" s="10" t="s">
        <v>153</v>
      </c>
      <c r="D60" s="10" t="s">
        <v>305</v>
      </c>
      <c r="E60" s="10" t="s">
        <v>430</v>
      </c>
      <c r="F60" s="34">
        <v>2</v>
      </c>
      <c r="G60" s="34">
        <v>0</v>
      </c>
      <c r="H60" s="34">
        <f>F60*AE60</f>
        <v>0</v>
      </c>
      <c r="I60" s="34">
        <f>J60-H60</f>
        <v>0</v>
      </c>
      <c r="J60" s="34">
        <f>F60*G60</f>
        <v>0</v>
      </c>
      <c r="K60" s="34">
        <v>0.03725</v>
      </c>
      <c r="L60" s="34">
        <f>F60*K60</f>
        <v>0.0745</v>
      </c>
      <c r="M60" s="56" t="s">
        <v>449</v>
      </c>
      <c r="P60" s="61">
        <f>IF(AG60="5",J60,0)</f>
        <v>0</v>
      </c>
      <c r="R60" s="61">
        <f>IF(AG60="1",H60,0)</f>
        <v>0</v>
      </c>
      <c r="S60" s="61">
        <f>IF(AG60="1",I60,0)</f>
        <v>0</v>
      </c>
      <c r="T60" s="61">
        <f>IF(AG60="7",H60,0)</f>
        <v>0</v>
      </c>
      <c r="U60" s="61">
        <f>IF(AG60="7",I60,0)</f>
        <v>0</v>
      </c>
      <c r="V60" s="61">
        <f>IF(AG60="2",H60,0)</f>
        <v>0</v>
      </c>
      <c r="W60" s="61">
        <f>IF(AG60="2",I60,0)</f>
        <v>0</v>
      </c>
      <c r="X60" s="61">
        <f>IF(AG60="0",J60,0)</f>
        <v>0</v>
      </c>
      <c r="Y60" s="50"/>
      <c r="Z60" s="34">
        <f>IF(AD60=0,J60,0)</f>
        <v>0</v>
      </c>
      <c r="AA60" s="34">
        <f>IF(AD60=15,J60,0)</f>
        <v>0</v>
      </c>
      <c r="AB60" s="34">
        <f>IF(AD60=21,J60,0)</f>
        <v>0</v>
      </c>
      <c r="AD60" s="61">
        <v>21</v>
      </c>
      <c r="AE60" s="61">
        <f>G60*0.931491827637444</f>
        <v>0</v>
      </c>
      <c r="AF60" s="61">
        <f>G60*(1-0.931491827637444)</f>
        <v>0</v>
      </c>
      <c r="AG60" s="56" t="s">
        <v>7</v>
      </c>
      <c r="AM60" s="61">
        <f>F60*AE60</f>
        <v>0</v>
      </c>
      <c r="AN60" s="61">
        <f>F60*AF60</f>
        <v>0</v>
      </c>
      <c r="AO60" s="62" t="s">
        <v>466</v>
      </c>
      <c r="AP60" s="62" t="s">
        <v>486</v>
      </c>
      <c r="AQ60" s="50" t="s">
        <v>493</v>
      </c>
      <c r="AS60" s="61">
        <f>AM60+AN60</f>
        <v>0</v>
      </c>
      <c r="AT60" s="61">
        <f>G60/(100-AU60)*100</f>
        <v>0</v>
      </c>
      <c r="AU60" s="61">
        <v>0</v>
      </c>
      <c r="AV60" s="61">
        <f>L60</f>
        <v>0.0745</v>
      </c>
    </row>
    <row r="61" ht="12.75">
      <c r="D61" s="28" t="s">
        <v>306</v>
      </c>
    </row>
    <row r="62" spans="1:48" ht="12.75">
      <c r="A62" s="10" t="s">
        <v>34</v>
      </c>
      <c r="B62" s="10"/>
      <c r="C62" s="10" t="s">
        <v>154</v>
      </c>
      <c r="D62" s="10" t="s">
        <v>307</v>
      </c>
      <c r="E62" s="10" t="s">
        <v>430</v>
      </c>
      <c r="F62" s="34">
        <v>18</v>
      </c>
      <c r="G62" s="34">
        <v>0</v>
      </c>
      <c r="H62" s="34">
        <f>F62*AE62</f>
        <v>0</v>
      </c>
      <c r="I62" s="34">
        <f>J62-H62</f>
        <v>0</v>
      </c>
      <c r="J62" s="34">
        <f>F62*G62</f>
        <v>0</v>
      </c>
      <c r="K62" s="34">
        <v>0.00025</v>
      </c>
      <c r="L62" s="34">
        <f>F62*K62</f>
        <v>0.0045000000000000005</v>
      </c>
      <c r="M62" s="56" t="s">
        <v>449</v>
      </c>
      <c r="P62" s="61">
        <f>IF(AG62="5",J62,0)</f>
        <v>0</v>
      </c>
      <c r="R62" s="61">
        <f>IF(AG62="1",H62,0)</f>
        <v>0</v>
      </c>
      <c r="S62" s="61">
        <f>IF(AG62="1",I62,0)</f>
        <v>0</v>
      </c>
      <c r="T62" s="61">
        <f>IF(AG62="7",H62,0)</f>
        <v>0</v>
      </c>
      <c r="U62" s="61">
        <f>IF(AG62="7",I62,0)</f>
        <v>0</v>
      </c>
      <c r="V62" s="61">
        <f>IF(AG62="2",H62,0)</f>
        <v>0</v>
      </c>
      <c r="W62" s="61">
        <f>IF(AG62="2",I62,0)</f>
        <v>0</v>
      </c>
      <c r="X62" s="61">
        <f>IF(AG62="0",J62,0)</f>
        <v>0</v>
      </c>
      <c r="Y62" s="50"/>
      <c r="Z62" s="34">
        <f>IF(AD62=0,J62,0)</f>
        <v>0</v>
      </c>
      <c r="AA62" s="34">
        <f>IF(AD62=15,J62,0)</f>
        <v>0</v>
      </c>
      <c r="AB62" s="34">
        <f>IF(AD62=21,J62,0)</f>
        <v>0</v>
      </c>
      <c r="AD62" s="61">
        <v>21</v>
      </c>
      <c r="AE62" s="61">
        <f>G62*0.0681616161616162</f>
        <v>0</v>
      </c>
      <c r="AF62" s="61">
        <f>G62*(1-0.0681616161616162)</f>
        <v>0</v>
      </c>
      <c r="AG62" s="56" t="s">
        <v>7</v>
      </c>
      <c r="AM62" s="61">
        <f>F62*AE62</f>
        <v>0</v>
      </c>
      <c r="AN62" s="61">
        <f>F62*AF62</f>
        <v>0</v>
      </c>
      <c r="AO62" s="62" t="s">
        <v>466</v>
      </c>
      <c r="AP62" s="62" t="s">
        <v>486</v>
      </c>
      <c r="AQ62" s="50" t="s">
        <v>493</v>
      </c>
      <c r="AS62" s="61">
        <f>AM62+AN62</f>
        <v>0</v>
      </c>
      <c r="AT62" s="61">
        <f>G62/(100-AU62)*100</f>
        <v>0</v>
      </c>
      <c r="AU62" s="61">
        <v>0</v>
      </c>
      <c r="AV62" s="61">
        <f>L62</f>
        <v>0.0045000000000000005</v>
      </c>
    </row>
    <row r="63" spans="1:48" ht="12.75">
      <c r="A63" s="12" t="s">
        <v>35</v>
      </c>
      <c r="B63" s="12"/>
      <c r="C63" s="12" t="s">
        <v>155</v>
      </c>
      <c r="D63" s="12" t="s">
        <v>308</v>
      </c>
      <c r="E63" s="12" t="s">
        <v>430</v>
      </c>
      <c r="F63" s="35">
        <v>16</v>
      </c>
      <c r="G63" s="35">
        <v>0</v>
      </c>
      <c r="H63" s="35">
        <f>F63*AE63</f>
        <v>0</v>
      </c>
      <c r="I63" s="35">
        <f>J63-H63</f>
        <v>0</v>
      </c>
      <c r="J63" s="35">
        <f>F63*G63</f>
        <v>0</v>
      </c>
      <c r="K63" s="35">
        <v>0.045</v>
      </c>
      <c r="L63" s="35">
        <f>F63*K63</f>
        <v>0.72</v>
      </c>
      <c r="M63" s="57" t="s">
        <v>449</v>
      </c>
      <c r="P63" s="61">
        <f>IF(AG63="5",J63,0)</f>
        <v>0</v>
      </c>
      <c r="R63" s="61">
        <f>IF(AG63="1",H63,0)</f>
        <v>0</v>
      </c>
      <c r="S63" s="61">
        <f>IF(AG63="1",I63,0)</f>
        <v>0</v>
      </c>
      <c r="T63" s="61">
        <f>IF(AG63="7",H63,0)</f>
        <v>0</v>
      </c>
      <c r="U63" s="61">
        <f>IF(AG63="7",I63,0)</f>
        <v>0</v>
      </c>
      <c r="V63" s="61">
        <f>IF(AG63="2",H63,0)</f>
        <v>0</v>
      </c>
      <c r="W63" s="61">
        <f>IF(AG63="2",I63,0)</f>
        <v>0</v>
      </c>
      <c r="X63" s="61">
        <f>IF(AG63="0",J63,0)</f>
        <v>0</v>
      </c>
      <c r="Y63" s="50"/>
      <c r="Z63" s="35">
        <f>IF(AD63=0,J63,0)</f>
        <v>0</v>
      </c>
      <c r="AA63" s="35">
        <f>IF(AD63=15,J63,0)</f>
        <v>0</v>
      </c>
      <c r="AB63" s="35">
        <f>IF(AD63=21,J63,0)</f>
        <v>0</v>
      </c>
      <c r="AD63" s="61">
        <v>21</v>
      </c>
      <c r="AE63" s="61">
        <f>G63*1</f>
        <v>0</v>
      </c>
      <c r="AF63" s="61">
        <f>G63*(1-1)</f>
        <v>0</v>
      </c>
      <c r="AG63" s="57" t="s">
        <v>7</v>
      </c>
      <c r="AM63" s="61">
        <f>F63*AE63</f>
        <v>0</v>
      </c>
      <c r="AN63" s="61">
        <f>F63*AF63</f>
        <v>0</v>
      </c>
      <c r="AO63" s="62" t="s">
        <v>466</v>
      </c>
      <c r="AP63" s="62" t="s">
        <v>486</v>
      </c>
      <c r="AQ63" s="50" t="s">
        <v>493</v>
      </c>
      <c r="AS63" s="61">
        <f>AM63+AN63</f>
        <v>0</v>
      </c>
      <c r="AT63" s="61">
        <f>G63/(100-AU63)*100</f>
        <v>0</v>
      </c>
      <c r="AU63" s="61">
        <v>0</v>
      </c>
      <c r="AV63" s="61">
        <f>L63</f>
        <v>0.72</v>
      </c>
    </row>
    <row r="64" spans="1:48" ht="12.75">
      <c r="A64" s="12" t="s">
        <v>36</v>
      </c>
      <c r="B64" s="12"/>
      <c r="C64" s="12" t="s">
        <v>155</v>
      </c>
      <c r="D64" s="12" t="s">
        <v>309</v>
      </c>
      <c r="E64" s="12" t="s">
        <v>430</v>
      </c>
      <c r="F64" s="35">
        <v>2</v>
      </c>
      <c r="G64" s="35">
        <v>0</v>
      </c>
      <c r="H64" s="35">
        <f>F64*AE64</f>
        <v>0</v>
      </c>
      <c r="I64" s="35">
        <f>J64-H64</f>
        <v>0</v>
      </c>
      <c r="J64" s="35">
        <f>F64*G64</f>
        <v>0</v>
      </c>
      <c r="K64" s="35">
        <v>0.045</v>
      </c>
      <c r="L64" s="35">
        <f>F64*K64</f>
        <v>0.09</v>
      </c>
      <c r="M64" s="57" t="s">
        <v>449</v>
      </c>
      <c r="P64" s="61">
        <f>IF(AG64="5",J64,0)</f>
        <v>0</v>
      </c>
      <c r="R64" s="61">
        <f>IF(AG64="1",H64,0)</f>
        <v>0</v>
      </c>
      <c r="S64" s="61">
        <f>IF(AG64="1",I64,0)</f>
        <v>0</v>
      </c>
      <c r="T64" s="61">
        <f>IF(AG64="7",H64,0)</f>
        <v>0</v>
      </c>
      <c r="U64" s="61">
        <f>IF(AG64="7",I64,0)</f>
        <v>0</v>
      </c>
      <c r="V64" s="61">
        <f>IF(AG64="2",H64,0)</f>
        <v>0</v>
      </c>
      <c r="W64" s="61">
        <f>IF(AG64="2",I64,0)</f>
        <v>0</v>
      </c>
      <c r="X64" s="61">
        <f>IF(AG64="0",J64,0)</f>
        <v>0</v>
      </c>
      <c r="Y64" s="50"/>
      <c r="Z64" s="35">
        <f>IF(AD64=0,J64,0)</f>
        <v>0</v>
      </c>
      <c r="AA64" s="35">
        <f>IF(AD64=15,J64,0)</f>
        <v>0</v>
      </c>
      <c r="AB64" s="35">
        <f>IF(AD64=21,J64,0)</f>
        <v>0</v>
      </c>
      <c r="AD64" s="61">
        <v>21</v>
      </c>
      <c r="AE64" s="61">
        <f>G64*1</f>
        <v>0</v>
      </c>
      <c r="AF64" s="61">
        <f>G64*(1-1)</f>
        <v>0</v>
      </c>
      <c r="AG64" s="57" t="s">
        <v>7</v>
      </c>
      <c r="AM64" s="61">
        <f>F64*AE64</f>
        <v>0</v>
      </c>
      <c r="AN64" s="61">
        <f>F64*AF64</f>
        <v>0</v>
      </c>
      <c r="AO64" s="62" t="s">
        <v>466</v>
      </c>
      <c r="AP64" s="62" t="s">
        <v>486</v>
      </c>
      <c r="AQ64" s="50" t="s">
        <v>493</v>
      </c>
      <c r="AS64" s="61">
        <f>AM64+AN64</f>
        <v>0</v>
      </c>
      <c r="AT64" s="61">
        <f>G64/(100-AU64)*100</f>
        <v>0</v>
      </c>
      <c r="AU64" s="61">
        <v>0</v>
      </c>
      <c r="AV64" s="61">
        <f>L64</f>
        <v>0.09</v>
      </c>
    </row>
    <row r="65" spans="1:48" ht="12.75">
      <c r="A65" s="10" t="s">
        <v>37</v>
      </c>
      <c r="B65" s="10"/>
      <c r="C65" s="10" t="s">
        <v>156</v>
      </c>
      <c r="D65" s="10" t="s">
        <v>310</v>
      </c>
      <c r="E65" s="10" t="s">
        <v>430</v>
      </c>
      <c r="F65" s="34">
        <v>18</v>
      </c>
      <c r="G65" s="34">
        <v>0</v>
      </c>
      <c r="H65" s="34">
        <f>F65*AE65</f>
        <v>0</v>
      </c>
      <c r="I65" s="34">
        <f>J65-H65</f>
        <v>0</v>
      </c>
      <c r="J65" s="34">
        <f>F65*G65</f>
        <v>0</v>
      </c>
      <c r="K65" s="34">
        <v>0</v>
      </c>
      <c r="L65" s="34">
        <f>F65*K65</f>
        <v>0</v>
      </c>
      <c r="M65" s="56" t="s">
        <v>449</v>
      </c>
      <c r="P65" s="61">
        <f>IF(AG65="5",J65,0)</f>
        <v>0</v>
      </c>
      <c r="R65" s="61">
        <f>IF(AG65="1",H65,0)</f>
        <v>0</v>
      </c>
      <c r="S65" s="61">
        <f>IF(AG65="1",I65,0)</f>
        <v>0</v>
      </c>
      <c r="T65" s="61">
        <f>IF(AG65="7",H65,0)</f>
        <v>0</v>
      </c>
      <c r="U65" s="61">
        <f>IF(AG65="7",I65,0)</f>
        <v>0</v>
      </c>
      <c r="V65" s="61">
        <f>IF(AG65="2",H65,0)</f>
        <v>0</v>
      </c>
      <c r="W65" s="61">
        <f>IF(AG65="2",I65,0)</f>
        <v>0</v>
      </c>
      <c r="X65" s="61">
        <f>IF(AG65="0",J65,0)</f>
        <v>0</v>
      </c>
      <c r="Y65" s="50"/>
      <c r="Z65" s="34">
        <f>IF(AD65=0,J65,0)</f>
        <v>0</v>
      </c>
      <c r="AA65" s="34">
        <f>IF(AD65=15,J65,0)</f>
        <v>0</v>
      </c>
      <c r="AB65" s="34">
        <f>IF(AD65=21,J65,0)</f>
        <v>0</v>
      </c>
      <c r="AD65" s="61">
        <v>21</v>
      </c>
      <c r="AE65" s="61">
        <f>G65*0</f>
        <v>0</v>
      </c>
      <c r="AF65" s="61">
        <f>G65*(1-0)</f>
        <v>0</v>
      </c>
      <c r="AG65" s="56" t="s">
        <v>7</v>
      </c>
      <c r="AM65" s="61">
        <f>F65*AE65</f>
        <v>0</v>
      </c>
      <c r="AN65" s="61">
        <f>F65*AF65</f>
        <v>0</v>
      </c>
      <c r="AO65" s="62" t="s">
        <v>466</v>
      </c>
      <c r="AP65" s="62" t="s">
        <v>486</v>
      </c>
      <c r="AQ65" s="50" t="s">
        <v>493</v>
      </c>
      <c r="AS65" s="61">
        <f>AM65+AN65</f>
        <v>0</v>
      </c>
      <c r="AT65" s="61">
        <f>G65/(100-AU65)*100</f>
        <v>0</v>
      </c>
      <c r="AU65" s="61">
        <v>0</v>
      </c>
      <c r="AV65" s="61">
        <f>L65</f>
        <v>0</v>
      </c>
    </row>
    <row r="66" spans="1:48" ht="12.75">
      <c r="A66" s="10" t="s">
        <v>38</v>
      </c>
      <c r="B66" s="10"/>
      <c r="C66" s="10" t="s">
        <v>157</v>
      </c>
      <c r="D66" s="10" t="s">
        <v>311</v>
      </c>
      <c r="E66" s="10" t="s">
        <v>426</v>
      </c>
      <c r="F66" s="34">
        <v>67.2</v>
      </c>
      <c r="G66" s="34">
        <v>0</v>
      </c>
      <c r="H66" s="34">
        <f>F66*AE66</f>
        <v>0</v>
      </c>
      <c r="I66" s="34">
        <f>J66-H66</f>
        <v>0</v>
      </c>
      <c r="J66" s="34">
        <f>F66*G66</f>
        <v>0</v>
      </c>
      <c r="K66" s="34">
        <v>0.00017</v>
      </c>
      <c r="L66" s="34">
        <f>F66*K66</f>
        <v>0.011424000000000002</v>
      </c>
      <c r="M66" s="56" t="s">
        <v>449</v>
      </c>
      <c r="P66" s="61">
        <f>IF(AG66="5",J66,0)</f>
        <v>0</v>
      </c>
      <c r="R66" s="61">
        <f>IF(AG66="1",H66,0)</f>
        <v>0</v>
      </c>
      <c r="S66" s="61">
        <f>IF(AG66="1",I66,0)</f>
        <v>0</v>
      </c>
      <c r="T66" s="61">
        <f>IF(AG66="7",H66,0)</f>
        <v>0</v>
      </c>
      <c r="U66" s="61">
        <f>IF(AG66="7",I66,0)</f>
        <v>0</v>
      </c>
      <c r="V66" s="61">
        <f>IF(AG66="2",H66,0)</f>
        <v>0</v>
      </c>
      <c r="W66" s="61">
        <f>IF(AG66="2",I66,0)</f>
        <v>0</v>
      </c>
      <c r="X66" s="61">
        <f>IF(AG66="0",J66,0)</f>
        <v>0</v>
      </c>
      <c r="Y66" s="50"/>
      <c r="Z66" s="34">
        <f>IF(AD66=0,J66,0)</f>
        <v>0</v>
      </c>
      <c r="AA66" s="34">
        <f>IF(AD66=15,J66,0)</f>
        <v>0</v>
      </c>
      <c r="AB66" s="34">
        <f>IF(AD66=21,J66,0)</f>
        <v>0</v>
      </c>
      <c r="AD66" s="61">
        <v>21</v>
      </c>
      <c r="AE66" s="61">
        <f>G66*0.741333970834329</f>
        <v>0</v>
      </c>
      <c r="AF66" s="61">
        <f>G66*(1-0.741333970834329)</f>
        <v>0</v>
      </c>
      <c r="AG66" s="56" t="s">
        <v>7</v>
      </c>
      <c r="AM66" s="61">
        <f>F66*AE66</f>
        <v>0</v>
      </c>
      <c r="AN66" s="61">
        <f>F66*AF66</f>
        <v>0</v>
      </c>
      <c r="AO66" s="62" t="s">
        <v>466</v>
      </c>
      <c r="AP66" s="62" t="s">
        <v>486</v>
      </c>
      <c r="AQ66" s="50" t="s">
        <v>493</v>
      </c>
      <c r="AS66" s="61">
        <f>AM66+AN66</f>
        <v>0</v>
      </c>
      <c r="AT66" s="61">
        <f>G66/(100-AU66)*100</f>
        <v>0</v>
      </c>
      <c r="AU66" s="61">
        <v>0</v>
      </c>
      <c r="AV66" s="61">
        <f>L66</f>
        <v>0.011424000000000002</v>
      </c>
    </row>
    <row r="67" spans="1:48" ht="12.75">
      <c r="A67" s="10" t="s">
        <v>39</v>
      </c>
      <c r="B67" s="10"/>
      <c r="C67" s="10" t="s">
        <v>158</v>
      </c>
      <c r="D67" s="10" t="s">
        <v>312</v>
      </c>
      <c r="E67" s="10" t="s">
        <v>430</v>
      </c>
      <c r="F67" s="34">
        <v>15</v>
      </c>
      <c r="G67" s="34">
        <v>0</v>
      </c>
      <c r="H67" s="34">
        <f>F67*AE67</f>
        <v>0</v>
      </c>
      <c r="I67" s="34">
        <f>J67-H67</f>
        <v>0</v>
      </c>
      <c r="J67" s="34">
        <f>F67*G67</f>
        <v>0</v>
      </c>
      <c r="K67" s="34">
        <v>0.22526</v>
      </c>
      <c r="L67" s="34">
        <f>F67*K67</f>
        <v>3.3789</v>
      </c>
      <c r="M67" s="56" t="s">
        <v>449</v>
      </c>
      <c r="P67" s="61">
        <f>IF(AG67="5",J67,0)</f>
        <v>0</v>
      </c>
      <c r="R67" s="61">
        <f>IF(AG67="1",H67,0)</f>
        <v>0</v>
      </c>
      <c r="S67" s="61">
        <f>IF(AG67="1",I67,0)</f>
        <v>0</v>
      </c>
      <c r="T67" s="61">
        <f>IF(AG67="7",H67,0)</f>
        <v>0</v>
      </c>
      <c r="U67" s="61">
        <f>IF(AG67="7",I67,0)</f>
        <v>0</v>
      </c>
      <c r="V67" s="61">
        <f>IF(AG67="2",H67,0)</f>
        <v>0</v>
      </c>
      <c r="W67" s="61">
        <f>IF(AG67="2",I67,0)</f>
        <v>0</v>
      </c>
      <c r="X67" s="61">
        <f>IF(AG67="0",J67,0)</f>
        <v>0</v>
      </c>
      <c r="Y67" s="50"/>
      <c r="Z67" s="34">
        <f>IF(AD67=0,J67,0)</f>
        <v>0</v>
      </c>
      <c r="AA67" s="34">
        <f>IF(AD67=15,J67,0)</f>
        <v>0</v>
      </c>
      <c r="AB67" s="34">
        <f>IF(AD67=21,J67,0)</f>
        <v>0</v>
      </c>
      <c r="AD67" s="61">
        <v>21</v>
      </c>
      <c r="AE67" s="61">
        <f>G67*0.527626918049147</f>
        <v>0</v>
      </c>
      <c r="AF67" s="61">
        <f>G67*(1-0.527626918049147)</f>
        <v>0</v>
      </c>
      <c r="AG67" s="56" t="s">
        <v>7</v>
      </c>
      <c r="AM67" s="61">
        <f>F67*AE67</f>
        <v>0</v>
      </c>
      <c r="AN67" s="61">
        <f>F67*AF67</f>
        <v>0</v>
      </c>
      <c r="AO67" s="62" t="s">
        <v>466</v>
      </c>
      <c r="AP67" s="62" t="s">
        <v>486</v>
      </c>
      <c r="AQ67" s="50" t="s">
        <v>493</v>
      </c>
      <c r="AS67" s="61">
        <f>AM67+AN67</f>
        <v>0</v>
      </c>
      <c r="AT67" s="61">
        <f>G67/(100-AU67)*100</f>
        <v>0</v>
      </c>
      <c r="AU67" s="61">
        <v>0</v>
      </c>
      <c r="AV67" s="61">
        <f>L67</f>
        <v>3.3789</v>
      </c>
    </row>
    <row r="68" spans="1:48" ht="12.75">
      <c r="A68" s="10" t="s">
        <v>40</v>
      </c>
      <c r="B68" s="10"/>
      <c r="C68" s="10" t="s">
        <v>159</v>
      </c>
      <c r="D68" s="10" t="s">
        <v>313</v>
      </c>
      <c r="E68" s="10" t="s">
        <v>426</v>
      </c>
      <c r="F68" s="34">
        <v>50.25</v>
      </c>
      <c r="G68" s="34">
        <v>0</v>
      </c>
      <c r="H68" s="34">
        <f>F68*AE68</f>
        <v>0</v>
      </c>
      <c r="I68" s="34">
        <f>J68-H68</f>
        <v>0</v>
      </c>
      <c r="J68" s="34">
        <f>F68*G68</f>
        <v>0</v>
      </c>
      <c r="K68" s="34">
        <v>4E-05</v>
      </c>
      <c r="L68" s="34">
        <f>F68*K68</f>
        <v>0.00201</v>
      </c>
      <c r="M68" s="56" t="s">
        <v>449</v>
      </c>
      <c r="P68" s="61">
        <f>IF(AG68="5",J68,0)</f>
        <v>0</v>
      </c>
      <c r="R68" s="61">
        <f>IF(AG68="1",H68,0)</f>
        <v>0</v>
      </c>
      <c r="S68" s="61">
        <f>IF(AG68="1",I68,0)</f>
        <v>0</v>
      </c>
      <c r="T68" s="61">
        <f>IF(AG68="7",H68,0)</f>
        <v>0</v>
      </c>
      <c r="U68" s="61">
        <f>IF(AG68="7",I68,0)</f>
        <v>0</v>
      </c>
      <c r="V68" s="61">
        <f>IF(AG68="2",H68,0)</f>
        <v>0</v>
      </c>
      <c r="W68" s="61">
        <f>IF(AG68="2",I68,0)</f>
        <v>0</v>
      </c>
      <c r="X68" s="61">
        <f>IF(AG68="0",J68,0)</f>
        <v>0</v>
      </c>
      <c r="Y68" s="50"/>
      <c r="Z68" s="34">
        <f>IF(AD68=0,J68,0)</f>
        <v>0</v>
      </c>
      <c r="AA68" s="34">
        <f>IF(AD68=15,J68,0)</f>
        <v>0</v>
      </c>
      <c r="AB68" s="34">
        <f>IF(AD68=21,J68,0)</f>
        <v>0</v>
      </c>
      <c r="AD68" s="61">
        <v>21</v>
      </c>
      <c r="AE68" s="61">
        <f>G68*0.395864406779661</f>
        <v>0</v>
      </c>
      <c r="AF68" s="61">
        <f>G68*(1-0.395864406779661)</f>
        <v>0</v>
      </c>
      <c r="AG68" s="56" t="s">
        <v>7</v>
      </c>
      <c r="AM68" s="61">
        <f>F68*AE68</f>
        <v>0</v>
      </c>
      <c r="AN68" s="61">
        <f>F68*AF68</f>
        <v>0</v>
      </c>
      <c r="AO68" s="62" t="s">
        <v>466</v>
      </c>
      <c r="AP68" s="62" t="s">
        <v>486</v>
      </c>
      <c r="AQ68" s="50" t="s">
        <v>493</v>
      </c>
      <c r="AS68" s="61">
        <f>AM68+AN68</f>
        <v>0</v>
      </c>
      <c r="AT68" s="61">
        <f>G68/(100-AU68)*100</f>
        <v>0</v>
      </c>
      <c r="AU68" s="61">
        <v>0</v>
      </c>
      <c r="AV68" s="61">
        <f>L68</f>
        <v>0.00201</v>
      </c>
    </row>
    <row r="69" ht="12.75">
      <c r="D69" s="28" t="s">
        <v>314</v>
      </c>
    </row>
    <row r="70" spans="1:48" ht="12.75">
      <c r="A70" s="10" t="s">
        <v>41</v>
      </c>
      <c r="B70" s="10"/>
      <c r="C70" s="10" t="s">
        <v>160</v>
      </c>
      <c r="D70" s="10" t="s">
        <v>315</v>
      </c>
      <c r="E70" s="10" t="s">
        <v>430</v>
      </c>
      <c r="F70" s="34">
        <v>15</v>
      </c>
      <c r="G70" s="34">
        <v>0</v>
      </c>
      <c r="H70" s="34">
        <f>F70*AE70</f>
        <v>0</v>
      </c>
      <c r="I70" s="34">
        <f>J70-H70</f>
        <v>0</v>
      </c>
      <c r="J70" s="34">
        <f>F70*G70</f>
        <v>0</v>
      </c>
      <c r="K70" s="34">
        <v>0.04128</v>
      </c>
      <c r="L70" s="34">
        <f>F70*K70</f>
        <v>0.6192</v>
      </c>
      <c r="M70" s="56" t="s">
        <v>449</v>
      </c>
      <c r="P70" s="61">
        <f>IF(AG70="5",J70,0)</f>
        <v>0</v>
      </c>
      <c r="R70" s="61">
        <f>IF(AG70="1",H70,0)</f>
        <v>0</v>
      </c>
      <c r="S70" s="61">
        <f>IF(AG70="1",I70,0)</f>
        <v>0</v>
      </c>
      <c r="T70" s="61">
        <f>IF(AG70="7",H70,0)</f>
        <v>0</v>
      </c>
      <c r="U70" s="61">
        <f>IF(AG70="7",I70,0)</f>
        <v>0</v>
      </c>
      <c r="V70" s="61">
        <f>IF(AG70="2",H70,0)</f>
        <v>0</v>
      </c>
      <c r="W70" s="61">
        <f>IF(AG70="2",I70,0)</f>
        <v>0</v>
      </c>
      <c r="X70" s="61">
        <f>IF(AG70="0",J70,0)</f>
        <v>0</v>
      </c>
      <c r="Y70" s="50"/>
      <c r="Z70" s="34">
        <f>IF(AD70=0,J70,0)</f>
        <v>0</v>
      </c>
      <c r="AA70" s="34">
        <f>IF(AD70=15,J70,0)</f>
        <v>0</v>
      </c>
      <c r="AB70" s="34">
        <f>IF(AD70=21,J70,0)</f>
        <v>0</v>
      </c>
      <c r="AD70" s="61">
        <v>21</v>
      </c>
      <c r="AE70" s="61">
        <f>G70*0.308138138138138</f>
        <v>0</v>
      </c>
      <c r="AF70" s="61">
        <f>G70*(1-0.308138138138138)</f>
        <v>0</v>
      </c>
      <c r="AG70" s="56" t="s">
        <v>7</v>
      </c>
      <c r="AM70" s="61">
        <f>F70*AE70</f>
        <v>0</v>
      </c>
      <c r="AN70" s="61">
        <f>F70*AF70</f>
        <v>0</v>
      </c>
      <c r="AO70" s="62" t="s">
        <v>466</v>
      </c>
      <c r="AP70" s="62" t="s">
        <v>486</v>
      </c>
      <c r="AQ70" s="50" t="s">
        <v>493</v>
      </c>
      <c r="AS70" s="61">
        <f>AM70+AN70</f>
        <v>0</v>
      </c>
      <c r="AT70" s="61">
        <f>G70/(100-AU70)*100</f>
        <v>0</v>
      </c>
      <c r="AU70" s="61">
        <v>0</v>
      </c>
      <c r="AV70" s="61">
        <f>L70</f>
        <v>0.6192</v>
      </c>
    </row>
    <row r="71" spans="1:48" ht="12.75">
      <c r="A71" s="10" t="s">
        <v>42</v>
      </c>
      <c r="B71" s="10"/>
      <c r="C71" s="10" t="s">
        <v>161</v>
      </c>
      <c r="D71" s="10" t="s">
        <v>316</v>
      </c>
      <c r="E71" s="10" t="s">
        <v>430</v>
      </c>
      <c r="F71" s="34">
        <v>15</v>
      </c>
      <c r="G71" s="34">
        <v>0</v>
      </c>
      <c r="H71" s="34">
        <f>F71*AE71</f>
        <v>0</v>
      </c>
      <c r="I71" s="34">
        <f>J71-H71</f>
        <v>0</v>
      </c>
      <c r="J71" s="34">
        <f>F71*G71</f>
        <v>0</v>
      </c>
      <c r="K71" s="34">
        <v>0.00442</v>
      </c>
      <c r="L71" s="34">
        <f>F71*K71</f>
        <v>0.0663</v>
      </c>
      <c r="M71" s="56" t="s">
        <v>449</v>
      </c>
      <c r="P71" s="61">
        <f>IF(AG71="5",J71,0)</f>
        <v>0</v>
      </c>
      <c r="R71" s="61">
        <f>IF(AG71="1",H71,0)</f>
        <v>0</v>
      </c>
      <c r="S71" s="61">
        <f>IF(AG71="1",I71,0)</f>
        <v>0</v>
      </c>
      <c r="T71" s="61">
        <f>IF(AG71="7",H71,0)</f>
        <v>0</v>
      </c>
      <c r="U71" s="61">
        <f>IF(AG71="7",I71,0)</f>
        <v>0</v>
      </c>
      <c r="V71" s="61">
        <f>IF(AG71="2",H71,0)</f>
        <v>0</v>
      </c>
      <c r="W71" s="61">
        <f>IF(AG71="2",I71,0)</f>
        <v>0</v>
      </c>
      <c r="X71" s="61">
        <f>IF(AG71="0",J71,0)</f>
        <v>0</v>
      </c>
      <c r="Y71" s="50"/>
      <c r="Z71" s="34">
        <f>IF(AD71=0,J71,0)</f>
        <v>0</v>
      </c>
      <c r="AA71" s="34">
        <f>IF(AD71=15,J71,0)</f>
        <v>0</v>
      </c>
      <c r="AB71" s="34">
        <f>IF(AD71=21,J71,0)</f>
        <v>0</v>
      </c>
      <c r="AD71" s="61">
        <v>21</v>
      </c>
      <c r="AE71" s="61">
        <f>G71*0.275394243264915</f>
        <v>0</v>
      </c>
      <c r="AF71" s="61">
        <f>G71*(1-0.275394243264915)</f>
        <v>0</v>
      </c>
      <c r="AG71" s="56" t="s">
        <v>7</v>
      </c>
      <c r="AM71" s="61">
        <f>F71*AE71</f>
        <v>0</v>
      </c>
      <c r="AN71" s="61">
        <f>F71*AF71</f>
        <v>0</v>
      </c>
      <c r="AO71" s="62" t="s">
        <v>466</v>
      </c>
      <c r="AP71" s="62" t="s">
        <v>486</v>
      </c>
      <c r="AQ71" s="50" t="s">
        <v>493</v>
      </c>
      <c r="AS71" s="61">
        <f>AM71+AN71</f>
        <v>0</v>
      </c>
      <c r="AT71" s="61">
        <f>G71/(100-AU71)*100</f>
        <v>0</v>
      </c>
      <c r="AU71" s="61">
        <v>0</v>
      </c>
      <c r="AV71" s="61">
        <f>L71</f>
        <v>0.0663</v>
      </c>
    </row>
    <row r="72" spans="1:48" ht="12.75">
      <c r="A72" s="10" t="s">
        <v>43</v>
      </c>
      <c r="B72" s="10"/>
      <c r="C72" s="10" t="s">
        <v>162</v>
      </c>
      <c r="D72" s="10" t="s">
        <v>317</v>
      </c>
      <c r="E72" s="10" t="s">
        <v>428</v>
      </c>
      <c r="F72" s="34">
        <v>138.50464</v>
      </c>
      <c r="G72" s="34">
        <v>0</v>
      </c>
      <c r="H72" s="34">
        <f>F72*AE72</f>
        <v>0</v>
      </c>
      <c r="I72" s="34">
        <f>J72-H72</f>
        <v>0</v>
      </c>
      <c r="J72" s="34">
        <f>F72*G72</f>
        <v>0</v>
      </c>
      <c r="K72" s="34">
        <v>0</v>
      </c>
      <c r="L72" s="34">
        <f>F72*K72</f>
        <v>0</v>
      </c>
      <c r="M72" s="56" t="s">
        <v>449</v>
      </c>
      <c r="P72" s="61">
        <f>IF(AG72="5",J72,0)</f>
        <v>0</v>
      </c>
      <c r="R72" s="61">
        <f>IF(AG72="1",H72,0)</f>
        <v>0</v>
      </c>
      <c r="S72" s="61">
        <f>IF(AG72="1",I72,0)</f>
        <v>0</v>
      </c>
      <c r="T72" s="61">
        <f>IF(AG72="7",H72,0)</f>
        <v>0</v>
      </c>
      <c r="U72" s="61">
        <f>IF(AG72="7",I72,0)</f>
        <v>0</v>
      </c>
      <c r="V72" s="61">
        <f>IF(AG72="2",H72,0)</f>
        <v>0</v>
      </c>
      <c r="W72" s="61">
        <f>IF(AG72="2",I72,0)</f>
        <v>0</v>
      </c>
      <c r="X72" s="61">
        <f>IF(AG72="0",J72,0)</f>
        <v>0</v>
      </c>
      <c r="Y72" s="50"/>
      <c r="Z72" s="34">
        <f>IF(AD72=0,J72,0)</f>
        <v>0</v>
      </c>
      <c r="AA72" s="34">
        <f>IF(AD72=15,J72,0)</f>
        <v>0</v>
      </c>
      <c r="AB72" s="34">
        <f>IF(AD72=21,J72,0)</f>
        <v>0</v>
      </c>
      <c r="AD72" s="61">
        <v>21</v>
      </c>
      <c r="AE72" s="61">
        <f>G72*0</f>
        <v>0</v>
      </c>
      <c r="AF72" s="61">
        <f>G72*(1-0)</f>
        <v>0</v>
      </c>
      <c r="AG72" s="56" t="s">
        <v>11</v>
      </c>
      <c r="AM72" s="61">
        <f>F72*AE72</f>
        <v>0</v>
      </c>
      <c r="AN72" s="61">
        <f>F72*AF72</f>
        <v>0</v>
      </c>
      <c r="AO72" s="62" t="s">
        <v>466</v>
      </c>
      <c r="AP72" s="62" t="s">
        <v>486</v>
      </c>
      <c r="AQ72" s="50" t="s">
        <v>493</v>
      </c>
      <c r="AS72" s="61">
        <f>AM72+AN72</f>
        <v>0</v>
      </c>
      <c r="AT72" s="61">
        <f>G72/(100-AU72)*100</f>
        <v>0</v>
      </c>
      <c r="AU72" s="61">
        <v>0</v>
      </c>
      <c r="AV72" s="61">
        <f>L72</f>
        <v>0</v>
      </c>
    </row>
    <row r="73" spans="1:48" ht="12.75">
      <c r="A73" s="10" t="s">
        <v>44</v>
      </c>
      <c r="B73" s="10"/>
      <c r="C73" s="10" t="s">
        <v>162</v>
      </c>
      <c r="D73" s="10" t="s">
        <v>317</v>
      </c>
      <c r="E73" s="10" t="s">
        <v>428</v>
      </c>
      <c r="F73" s="34">
        <v>127.34138</v>
      </c>
      <c r="G73" s="34">
        <v>0</v>
      </c>
      <c r="H73" s="34">
        <f>F73*AE73</f>
        <v>0</v>
      </c>
      <c r="I73" s="34">
        <f>J73-H73</f>
        <v>0</v>
      </c>
      <c r="J73" s="34">
        <f>F73*G73</f>
        <v>0</v>
      </c>
      <c r="K73" s="34">
        <v>0</v>
      </c>
      <c r="L73" s="34">
        <f>F73*K73</f>
        <v>0</v>
      </c>
      <c r="M73" s="56" t="s">
        <v>450</v>
      </c>
      <c r="P73" s="61">
        <f>IF(AG73="5",J73,0)</f>
        <v>0</v>
      </c>
      <c r="R73" s="61">
        <f>IF(AG73="1",H73,0)</f>
        <v>0</v>
      </c>
      <c r="S73" s="61">
        <f>IF(AG73="1",I73,0)</f>
        <v>0</v>
      </c>
      <c r="T73" s="61">
        <f>IF(AG73="7",H73,0)</f>
        <v>0</v>
      </c>
      <c r="U73" s="61">
        <f>IF(AG73="7",I73,0)</f>
        <v>0</v>
      </c>
      <c r="V73" s="61">
        <f>IF(AG73="2",H73,0)</f>
        <v>0</v>
      </c>
      <c r="W73" s="61">
        <f>IF(AG73="2",I73,0)</f>
        <v>0</v>
      </c>
      <c r="X73" s="61">
        <f>IF(AG73="0",J73,0)</f>
        <v>0</v>
      </c>
      <c r="Y73" s="50"/>
      <c r="Z73" s="34">
        <f>IF(AD73=0,J73,0)</f>
        <v>0</v>
      </c>
      <c r="AA73" s="34">
        <f>IF(AD73=15,J73,0)</f>
        <v>0</v>
      </c>
      <c r="AB73" s="34">
        <f>IF(AD73=21,J73,0)</f>
        <v>0</v>
      </c>
      <c r="AD73" s="61">
        <v>21</v>
      </c>
      <c r="AE73" s="61">
        <f>G73*0</f>
        <v>0</v>
      </c>
      <c r="AF73" s="61">
        <f>G73*(1-0)</f>
        <v>0</v>
      </c>
      <c r="AG73" s="56" t="s">
        <v>11</v>
      </c>
      <c r="AM73" s="61">
        <f>F73*AE73</f>
        <v>0</v>
      </c>
      <c r="AN73" s="61">
        <f>F73*AF73</f>
        <v>0</v>
      </c>
      <c r="AO73" s="62" t="s">
        <v>466</v>
      </c>
      <c r="AP73" s="62" t="s">
        <v>486</v>
      </c>
      <c r="AQ73" s="50" t="s">
        <v>493</v>
      </c>
      <c r="AS73" s="61">
        <f>AM73+AN73</f>
        <v>0</v>
      </c>
      <c r="AT73" s="61">
        <f>G73/(100-AU73)*100</f>
        <v>0</v>
      </c>
      <c r="AU73" s="61">
        <v>0</v>
      </c>
      <c r="AV73" s="61">
        <f>L73</f>
        <v>0</v>
      </c>
    </row>
    <row r="74" spans="1:37" ht="12.75">
      <c r="A74" s="11"/>
      <c r="B74" s="24"/>
      <c r="C74" s="24" t="s">
        <v>163</v>
      </c>
      <c r="D74" s="24" t="s">
        <v>318</v>
      </c>
      <c r="E74" s="32"/>
      <c r="F74" s="32"/>
      <c r="G74" s="32"/>
      <c r="H74" s="64">
        <f>SUM(H75:H76)</f>
        <v>0</v>
      </c>
      <c r="I74" s="64">
        <f>SUM(I75:I76)</f>
        <v>0</v>
      </c>
      <c r="J74" s="64">
        <f>H74+I74</f>
        <v>0</v>
      </c>
      <c r="K74" s="50"/>
      <c r="L74" s="64">
        <f>SUM(L75:L76)</f>
        <v>0.5</v>
      </c>
      <c r="M74" s="50"/>
      <c r="Y74" s="50"/>
      <c r="AI74" s="64">
        <f>SUM(Z75:Z76)</f>
        <v>0</v>
      </c>
      <c r="AJ74" s="64">
        <f>SUM(AA75:AA76)</f>
        <v>0</v>
      </c>
      <c r="AK74" s="64">
        <f>SUM(AB75:AB76)</f>
        <v>0</v>
      </c>
    </row>
    <row r="75" spans="1:48" ht="12.75">
      <c r="A75" s="10" t="s">
        <v>45</v>
      </c>
      <c r="B75" s="10"/>
      <c r="C75" s="10" t="s">
        <v>164</v>
      </c>
      <c r="D75" s="10" t="s">
        <v>318</v>
      </c>
      <c r="E75" s="10" t="s">
        <v>431</v>
      </c>
      <c r="F75" s="34">
        <v>1</v>
      </c>
      <c r="G75" s="34">
        <v>0</v>
      </c>
      <c r="H75" s="34">
        <f>F75*AE75</f>
        <v>0</v>
      </c>
      <c r="I75" s="34">
        <f>J75-H75</f>
        <v>0</v>
      </c>
      <c r="J75" s="34">
        <f>F75*G75</f>
        <v>0</v>
      </c>
      <c r="K75" s="34">
        <v>0.5</v>
      </c>
      <c r="L75" s="34">
        <f>F75*K75</f>
        <v>0.5</v>
      </c>
      <c r="M75" s="56" t="s">
        <v>449</v>
      </c>
      <c r="P75" s="61">
        <f>IF(AG75="5",J75,0)</f>
        <v>0</v>
      </c>
      <c r="R75" s="61">
        <f>IF(AG75="1",H75,0)</f>
        <v>0</v>
      </c>
      <c r="S75" s="61">
        <f>IF(AG75="1",I75,0)</f>
        <v>0</v>
      </c>
      <c r="T75" s="61">
        <f>IF(AG75="7",H75,0)</f>
        <v>0</v>
      </c>
      <c r="U75" s="61">
        <f>IF(AG75="7",I75,0)</f>
        <v>0</v>
      </c>
      <c r="V75" s="61">
        <f>IF(AG75="2",H75,0)</f>
        <v>0</v>
      </c>
      <c r="W75" s="61">
        <f>IF(AG75="2",I75,0)</f>
        <v>0</v>
      </c>
      <c r="X75" s="61">
        <f>IF(AG75="0",J75,0)</f>
        <v>0</v>
      </c>
      <c r="Y75" s="50"/>
      <c r="Z75" s="34">
        <f>IF(AD75=0,J75,0)</f>
        <v>0</v>
      </c>
      <c r="AA75" s="34">
        <f>IF(AD75=15,J75,0)</f>
        <v>0</v>
      </c>
      <c r="AB75" s="34">
        <f>IF(AD75=21,J75,0)</f>
        <v>0</v>
      </c>
      <c r="AD75" s="61">
        <v>21</v>
      </c>
      <c r="AE75" s="61">
        <f>G75*0.716420964537964</f>
        <v>0</v>
      </c>
      <c r="AF75" s="61">
        <f>G75*(1-0.716420964537964)</f>
        <v>0</v>
      </c>
      <c r="AG75" s="56" t="s">
        <v>13</v>
      </c>
      <c r="AM75" s="61">
        <f>F75*AE75</f>
        <v>0</v>
      </c>
      <c r="AN75" s="61">
        <f>F75*AF75</f>
        <v>0</v>
      </c>
      <c r="AO75" s="62" t="s">
        <v>467</v>
      </c>
      <c r="AP75" s="62" t="s">
        <v>487</v>
      </c>
      <c r="AQ75" s="50" t="s">
        <v>493</v>
      </c>
      <c r="AS75" s="61">
        <f>AM75+AN75</f>
        <v>0</v>
      </c>
      <c r="AT75" s="61">
        <f>G75/(100-AU75)*100</f>
        <v>0</v>
      </c>
      <c r="AU75" s="61">
        <v>0</v>
      </c>
      <c r="AV75" s="61">
        <f>L75</f>
        <v>0.5</v>
      </c>
    </row>
    <row r="76" spans="1:48" ht="12.75">
      <c r="A76" s="10" t="s">
        <v>46</v>
      </c>
      <c r="B76" s="10"/>
      <c r="C76" s="10" t="s">
        <v>165</v>
      </c>
      <c r="D76" s="10" t="s">
        <v>319</v>
      </c>
      <c r="E76" s="10" t="s">
        <v>428</v>
      </c>
      <c r="F76" s="34">
        <v>0.5</v>
      </c>
      <c r="G76" s="34">
        <v>0</v>
      </c>
      <c r="H76" s="34">
        <f>F76*AE76</f>
        <v>0</v>
      </c>
      <c r="I76" s="34">
        <f>J76-H76</f>
        <v>0</v>
      </c>
      <c r="J76" s="34">
        <f>F76*G76</f>
        <v>0</v>
      </c>
      <c r="K76" s="34">
        <v>0</v>
      </c>
      <c r="L76" s="34">
        <f>F76*K76</f>
        <v>0</v>
      </c>
      <c r="M76" s="56" t="s">
        <v>449</v>
      </c>
      <c r="P76" s="61">
        <f>IF(AG76="5",J76,0)</f>
        <v>0</v>
      </c>
      <c r="R76" s="61">
        <f>IF(AG76="1",H76,0)</f>
        <v>0</v>
      </c>
      <c r="S76" s="61">
        <f>IF(AG76="1",I76,0)</f>
        <v>0</v>
      </c>
      <c r="T76" s="61">
        <f>IF(AG76="7",H76,0)</f>
        <v>0</v>
      </c>
      <c r="U76" s="61">
        <f>IF(AG76="7",I76,0)</f>
        <v>0</v>
      </c>
      <c r="V76" s="61">
        <f>IF(AG76="2",H76,0)</f>
        <v>0</v>
      </c>
      <c r="W76" s="61">
        <f>IF(AG76="2",I76,0)</f>
        <v>0</v>
      </c>
      <c r="X76" s="61">
        <f>IF(AG76="0",J76,0)</f>
        <v>0</v>
      </c>
      <c r="Y76" s="50"/>
      <c r="Z76" s="34">
        <f>IF(AD76=0,J76,0)</f>
        <v>0</v>
      </c>
      <c r="AA76" s="34">
        <f>IF(AD76=15,J76,0)</f>
        <v>0</v>
      </c>
      <c r="AB76" s="34">
        <f>IF(AD76=21,J76,0)</f>
        <v>0</v>
      </c>
      <c r="AD76" s="61">
        <v>21</v>
      </c>
      <c r="AE76" s="61">
        <f>G76*0</f>
        <v>0</v>
      </c>
      <c r="AF76" s="61">
        <f>G76*(1-0)</f>
        <v>0</v>
      </c>
      <c r="AG76" s="56" t="s">
        <v>11</v>
      </c>
      <c r="AM76" s="61">
        <f>F76*AE76</f>
        <v>0</v>
      </c>
      <c r="AN76" s="61">
        <f>F76*AF76</f>
        <v>0</v>
      </c>
      <c r="AO76" s="62" t="s">
        <v>467</v>
      </c>
      <c r="AP76" s="62" t="s">
        <v>487</v>
      </c>
      <c r="AQ76" s="50" t="s">
        <v>493</v>
      </c>
      <c r="AS76" s="61">
        <f>AM76+AN76</f>
        <v>0</v>
      </c>
      <c r="AT76" s="61">
        <f>G76/(100-AU76)*100</f>
        <v>0</v>
      </c>
      <c r="AU76" s="61">
        <v>0</v>
      </c>
      <c r="AV76" s="61">
        <f>L76</f>
        <v>0</v>
      </c>
    </row>
    <row r="77" spans="1:37" ht="12.75">
      <c r="A77" s="11"/>
      <c r="B77" s="24"/>
      <c r="C77" s="24" t="s">
        <v>166</v>
      </c>
      <c r="D77" s="24" t="s">
        <v>320</v>
      </c>
      <c r="E77" s="32"/>
      <c r="F77" s="32"/>
      <c r="G77" s="32"/>
      <c r="H77" s="64">
        <f>SUM(H78:H79)</f>
        <v>0</v>
      </c>
      <c r="I77" s="64">
        <f>SUM(I78:I79)</f>
        <v>0</v>
      </c>
      <c r="J77" s="64">
        <f>H77+I77</f>
        <v>0</v>
      </c>
      <c r="K77" s="50"/>
      <c r="L77" s="64">
        <f>SUM(L78:L79)</f>
        <v>0.3</v>
      </c>
      <c r="M77" s="50"/>
      <c r="Y77" s="50"/>
      <c r="AI77" s="64">
        <f>SUM(Z78:Z79)</f>
        <v>0</v>
      </c>
      <c r="AJ77" s="64">
        <f>SUM(AA78:AA79)</f>
        <v>0</v>
      </c>
      <c r="AK77" s="64">
        <f>SUM(AB78:AB79)</f>
        <v>0</v>
      </c>
    </row>
    <row r="78" spans="1:48" ht="12.75">
      <c r="A78" s="10" t="s">
        <v>47</v>
      </c>
      <c r="B78" s="10"/>
      <c r="C78" s="10" t="s">
        <v>167</v>
      </c>
      <c r="D78" s="10" t="s">
        <v>320</v>
      </c>
      <c r="E78" s="10" t="s">
        <v>431</v>
      </c>
      <c r="F78" s="34">
        <v>1</v>
      </c>
      <c r="G78" s="34">
        <v>0</v>
      </c>
      <c r="H78" s="34">
        <f>F78*AE78</f>
        <v>0</v>
      </c>
      <c r="I78" s="34">
        <f>J78-H78</f>
        <v>0</v>
      </c>
      <c r="J78" s="34">
        <f>F78*G78</f>
        <v>0</v>
      </c>
      <c r="K78" s="34">
        <v>0.3</v>
      </c>
      <c r="L78" s="34">
        <f>F78*K78</f>
        <v>0.3</v>
      </c>
      <c r="M78" s="56" t="s">
        <v>449</v>
      </c>
      <c r="P78" s="61">
        <f>IF(AG78="5",J78,0)</f>
        <v>0</v>
      </c>
      <c r="R78" s="61">
        <f>IF(AG78="1",H78,0)</f>
        <v>0</v>
      </c>
      <c r="S78" s="61">
        <f>IF(AG78="1",I78,0)</f>
        <v>0</v>
      </c>
      <c r="T78" s="61">
        <f>IF(AG78="7",H78,0)</f>
        <v>0</v>
      </c>
      <c r="U78" s="61">
        <f>IF(AG78="7",I78,0)</f>
        <v>0</v>
      </c>
      <c r="V78" s="61">
        <f>IF(AG78="2",H78,0)</f>
        <v>0</v>
      </c>
      <c r="W78" s="61">
        <f>IF(AG78="2",I78,0)</f>
        <v>0</v>
      </c>
      <c r="X78" s="61">
        <f>IF(AG78="0",J78,0)</f>
        <v>0</v>
      </c>
      <c r="Y78" s="50"/>
      <c r="Z78" s="34">
        <f>IF(AD78=0,J78,0)</f>
        <v>0</v>
      </c>
      <c r="AA78" s="34">
        <f>IF(AD78=15,J78,0)</f>
        <v>0</v>
      </c>
      <c r="AB78" s="34">
        <f>IF(AD78=21,J78,0)</f>
        <v>0</v>
      </c>
      <c r="AD78" s="61">
        <v>21</v>
      </c>
      <c r="AE78" s="61">
        <f>G78*0.724258083567105</f>
        <v>0</v>
      </c>
      <c r="AF78" s="61">
        <f>G78*(1-0.724258083567105)</f>
        <v>0</v>
      </c>
      <c r="AG78" s="56" t="s">
        <v>13</v>
      </c>
      <c r="AM78" s="61">
        <f>F78*AE78</f>
        <v>0</v>
      </c>
      <c r="AN78" s="61">
        <f>F78*AF78</f>
        <v>0</v>
      </c>
      <c r="AO78" s="62" t="s">
        <v>468</v>
      </c>
      <c r="AP78" s="62" t="s">
        <v>487</v>
      </c>
      <c r="AQ78" s="50" t="s">
        <v>493</v>
      </c>
      <c r="AS78" s="61">
        <f>AM78+AN78</f>
        <v>0</v>
      </c>
      <c r="AT78" s="61">
        <f>G78/(100-AU78)*100</f>
        <v>0</v>
      </c>
      <c r="AU78" s="61">
        <v>0</v>
      </c>
      <c r="AV78" s="61">
        <f>L78</f>
        <v>0.3</v>
      </c>
    </row>
    <row r="79" spans="1:48" ht="12.75">
      <c r="A79" s="10" t="s">
        <v>48</v>
      </c>
      <c r="B79" s="10"/>
      <c r="C79" s="10" t="s">
        <v>168</v>
      </c>
      <c r="D79" s="10" t="s">
        <v>321</v>
      </c>
      <c r="E79" s="10" t="s">
        <v>428</v>
      </c>
      <c r="F79" s="34">
        <v>0.3</v>
      </c>
      <c r="G79" s="34">
        <v>0</v>
      </c>
      <c r="H79" s="34">
        <f>F79*AE79</f>
        <v>0</v>
      </c>
      <c r="I79" s="34">
        <f>J79-H79</f>
        <v>0</v>
      </c>
      <c r="J79" s="34">
        <f>F79*G79</f>
        <v>0</v>
      </c>
      <c r="K79" s="34">
        <v>0</v>
      </c>
      <c r="L79" s="34">
        <f>F79*K79</f>
        <v>0</v>
      </c>
      <c r="M79" s="56" t="s">
        <v>449</v>
      </c>
      <c r="P79" s="61">
        <f>IF(AG79="5",J79,0)</f>
        <v>0</v>
      </c>
      <c r="R79" s="61">
        <f>IF(AG79="1",H79,0)</f>
        <v>0</v>
      </c>
      <c r="S79" s="61">
        <f>IF(AG79="1",I79,0)</f>
        <v>0</v>
      </c>
      <c r="T79" s="61">
        <f>IF(AG79="7",H79,0)</f>
        <v>0</v>
      </c>
      <c r="U79" s="61">
        <f>IF(AG79="7",I79,0)</f>
        <v>0</v>
      </c>
      <c r="V79" s="61">
        <f>IF(AG79="2",H79,0)</f>
        <v>0</v>
      </c>
      <c r="W79" s="61">
        <f>IF(AG79="2",I79,0)</f>
        <v>0</v>
      </c>
      <c r="X79" s="61">
        <f>IF(AG79="0",J79,0)</f>
        <v>0</v>
      </c>
      <c r="Y79" s="50"/>
      <c r="Z79" s="34">
        <f>IF(AD79=0,J79,0)</f>
        <v>0</v>
      </c>
      <c r="AA79" s="34">
        <f>IF(AD79=15,J79,0)</f>
        <v>0</v>
      </c>
      <c r="AB79" s="34">
        <f>IF(AD79=21,J79,0)</f>
        <v>0</v>
      </c>
      <c r="AD79" s="61">
        <v>21</v>
      </c>
      <c r="AE79" s="61">
        <f>G79*0</f>
        <v>0</v>
      </c>
      <c r="AF79" s="61">
        <f>G79*(1-0)</f>
        <v>0</v>
      </c>
      <c r="AG79" s="56" t="s">
        <v>11</v>
      </c>
      <c r="AM79" s="61">
        <f>F79*AE79</f>
        <v>0</v>
      </c>
      <c r="AN79" s="61">
        <f>F79*AF79</f>
        <v>0</v>
      </c>
      <c r="AO79" s="62" t="s">
        <v>468</v>
      </c>
      <c r="AP79" s="62" t="s">
        <v>487</v>
      </c>
      <c r="AQ79" s="50" t="s">
        <v>493</v>
      </c>
      <c r="AS79" s="61">
        <f>AM79+AN79</f>
        <v>0</v>
      </c>
      <c r="AT79" s="61">
        <f>G79/(100-AU79)*100</f>
        <v>0</v>
      </c>
      <c r="AU79" s="61">
        <v>0</v>
      </c>
      <c r="AV79" s="61">
        <f>L79</f>
        <v>0</v>
      </c>
    </row>
    <row r="80" spans="1:37" ht="12.75">
      <c r="A80" s="11"/>
      <c r="B80" s="24"/>
      <c r="C80" s="24" t="s">
        <v>169</v>
      </c>
      <c r="D80" s="24" t="s">
        <v>322</v>
      </c>
      <c r="E80" s="32"/>
      <c r="F80" s="32"/>
      <c r="G80" s="32"/>
      <c r="H80" s="64">
        <f>SUM(H81:H91)</f>
        <v>0</v>
      </c>
      <c r="I80" s="64">
        <f>SUM(I81:I91)</f>
        <v>0</v>
      </c>
      <c r="J80" s="64">
        <f>H80+I80</f>
        <v>0</v>
      </c>
      <c r="K80" s="50"/>
      <c r="L80" s="64">
        <f>SUM(L81:L91)</f>
        <v>5.0177483</v>
      </c>
      <c r="M80" s="50"/>
      <c r="Y80" s="50"/>
      <c r="AI80" s="64">
        <f>SUM(Z81:Z91)</f>
        <v>0</v>
      </c>
      <c r="AJ80" s="64">
        <f>SUM(AA81:AA91)</f>
        <v>0</v>
      </c>
      <c r="AK80" s="64">
        <f>SUM(AB81:AB91)</f>
        <v>0</v>
      </c>
    </row>
    <row r="81" spans="1:48" ht="12.75">
      <c r="A81" s="10" t="s">
        <v>49</v>
      </c>
      <c r="B81" s="10"/>
      <c r="C81" s="10" t="s">
        <v>170</v>
      </c>
      <c r="D81" s="10" t="s">
        <v>323</v>
      </c>
      <c r="E81" s="10" t="s">
        <v>432</v>
      </c>
      <c r="F81" s="34">
        <v>14</v>
      </c>
      <c r="G81" s="34">
        <v>0</v>
      </c>
      <c r="H81" s="34">
        <f>F81*AE81</f>
        <v>0</v>
      </c>
      <c r="I81" s="34">
        <f>J81-H81</f>
        <v>0</v>
      </c>
      <c r="J81" s="34">
        <f>F81*G81</f>
        <v>0</v>
      </c>
      <c r="K81" s="34">
        <v>0.01946</v>
      </c>
      <c r="L81" s="34">
        <f>F81*K81</f>
        <v>0.27244</v>
      </c>
      <c r="M81" s="56" t="s">
        <v>449</v>
      </c>
      <c r="P81" s="61">
        <f>IF(AG81="5",J81,0)</f>
        <v>0</v>
      </c>
      <c r="R81" s="61">
        <f>IF(AG81="1",H81,0)</f>
        <v>0</v>
      </c>
      <c r="S81" s="61">
        <f>IF(AG81="1",I81,0)</f>
        <v>0</v>
      </c>
      <c r="T81" s="61">
        <f>IF(AG81="7",H81,0)</f>
        <v>0</v>
      </c>
      <c r="U81" s="61">
        <f>IF(AG81="7",I81,0)</f>
        <v>0</v>
      </c>
      <c r="V81" s="61">
        <f>IF(AG81="2",H81,0)</f>
        <v>0</v>
      </c>
      <c r="W81" s="61">
        <f>IF(AG81="2",I81,0)</f>
        <v>0</v>
      </c>
      <c r="X81" s="61">
        <f>IF(AG81="0",J81,0)</f>
        <v>0</v>
      </c>
      <c r="Y81" s="50"/>
      <c r="Z81" s="34">
        <f>IF(AD81=0,J81,0)</f>
        <v>0</v>
      </c>
      <c r="AA81" s="34">
        <f>IF(AD81=15,J81,0)</f>
        <v>0</v>
      </c>
      <c r="AB81" s="34">
        <f>IF(AD81=21,J81,0)</f>
        <v>0</v>
      </c>
      <c r="AD81" s="61">
        <v>21</v>
      </c>
      <c r="AE81" s="61">
        <f>G81*0</f>
        <v>0</v>
      </c>
      <c r="AF81" s="61">
        <f>G81*(1-0)</f>
        <v>0</v>
      </c>
      <c r="AG81" s="56" t="s">
        <v>13</v>
      </c>
      <c r="AM81" s="61">
        <f>F81*AE81</f>
        <v>0</v>
      </c>
      <c r="AN81" s="61">
        <f>F81*AF81</f>
        <v>0</v>
      </c>
      <c r="AO81" s="62" t="s">
        <v>469</v>
      </c>
      <c r="AP81" s="62" t="s">
        <v>487</v>
      </c>
      <c r="AQ81" s="50" t="s">
        <v>493</v>
      </c>
      <c r="AS81" s="61">
        <f>AM81+AN81</f>
        <v>0</v>
      </c>
      <c r="AT81" s="61">
        <f>G81/(100-AU81)*100</f>
        <v>0</v>
      </c>
      <c r="AU81" s="61">
        <v>0</v>
      </c>
      <c r="AV81" s="61">
        <f>L81</f>
        <v>0.27244</v>
      </c>
    </row>
    <row r="82" spans="1:48" ht="12.75">
      <c r="A82" s="10" t="s">
        <v>50</v>
      </c>
      <c r="B82" s="10"/>
      <c r="C82" s="10" t="s">
        <v>171</v>
      </c>
      <c r="D82" s="10" t="s">
        <v>324</v>
      </c>
      <c r="E82" s="10" t="s">
        <v>432</v>
      </c>
      <c r="F82" s="34">
        <v>12</v>
      </c>
      <c r="G82" s="34">
        <v>0</v>
      </c>
      <c r="H82" s="34">
        <f>F82*AE82</f>
        <v>0</v>
      </c>
      <c r="I82" s="34">
        <f>J82-H82</f>
        <v>0</v>
      </c>
      <c r="J82" s="34">
        <f>F82*G82</f>
        <v>0</v>
      </c>
      <c r="K82" s="34">
        <v>0.0489</v>
      </c>
      <c r="L82" s="34">
        <f>F82*K82</f>
        <v>0.5868</v>
      </c>
      <c r="M82" s="56" t="s">
        <v>449</v>
      </c>
      <c r="P82" s="61">
        <f>IF(AG82="5",J82,0)</f>
        <v>0</v>
      </c>
      <c r="R82" s="61">
        <f>IF(AG82="1",H82,0)</f>
        <v>0</v>
      </c>
      <c r="S82" s="61">
        <f>IF(AG82="1",I82,0)</f>
        <v>0</v>
      </c>
      <c r="T82" s="61">
        <f>IF(AG82="7",H82,0)</f>
        <v>0</v>
      </c>
      <c r="U82" s="61">
        <f>IF(AG82="7",I82,0)</f>
        <v>0</v>
      </c>
      <c r="V82" s="61">
        <f>IF(AG82="2",H82,0)</f>
        <v>0</v>
      </c>
      <c r="W82" s="61">
        <f>IF(AG82="2",I82,0)</f>
        <v>0</v>
      </c>
      <c r="X82" s="61">
        <f>IF(AG82="0",J82,0)</f>
        <v>0</v>
      </c>
      <c r="Y82" s="50"/>
      <c r="Z82" s="34">
        <f>IF(AD82=0,J82,0)</f>
        <v>0</v>
      </c>
      <c r="AA82" s="34">
        <f>IF(AD82=15,J82,0)</f>
        <v>0</v>
      </c>
      <c r="AB82" s="34">
        <f>IF(AD82=21,J82,0)</f>
        <v>0</v>
      </c>
      <c r="AD82" s="61">
        <v>21</v>
      </c>
      <c r="AE82" s="61">
        <f>G82*0</f>
        <v>0</v>
      </c>
      <c r="AF82" s="61">
        <f>G82*(1-0)</f>
        <v>0</v>
      </c>
      <c r="AG82" s="56" t="s">
        <v>13</v>
      </c>
      <c r="AM82" s="61">
        <f>F82*AE82</f>
        <v>0</v>
      </c>
      <c r="AN82" s="61">
        <f>F82*AF82</f>
        <v>0</v>
      </c>
      <c r="AO82" s="62" t="s">
        <v>469</v>
      </c>
      <c r="AP82" s="62" t="s">
        <v>487</v>
      </c>
      <c r="AQ82" s="50" t="s">
        <v>493</v>
      </c>
      <c r="AS82" s="61">
        <f>AM82+AN82</f>
        <v>0</v>
      </c>
      <c r="AT82" s="61">
        <f>G82/(100-AU82)*100</f>
        <v>0</v>
      </c>
      <c r="AU82" s="61">
        <v>0</v>
      </c>
      <c r="AV82" s="61">
        <f>L82</f>
        <v>0.5868</v>
      </c>
    </row>
    <row r="83" spans="1:48" ht="12.75">
      <c r="A83" s="10" t="s">
        <v>51</v>
      </c>
      <c r="B83" s="10"/>
      <c r="C83" s="10" t="s">
        <v>172</v>
      </c>
      <c r="D83" s="10" t="s">
        <v>325</v>
      </c>
      <c r="E83" s="10" t="s">
        <v>432</v>
      </c>
      <c r="F83" s="34">
        <v>4</v>
      </c>
      <c r="G83" s="34">
        <v>0</v>
      </c>
      <c r="H83" s="34">
        <f>F83*AE83</f>
        <v>0</v>
      </c>
      <c r="I83" s="34">
        <f>J83-H83</f>
        <v>0</v>
      </c>
      <c r="J83" s="34">
        <f>F83*G83</f>
        <v>0</v>
      </c>
      <c r="K83" s="34">
        <v>0.0347</v>
      </c>
      <c r="L83" s="34">
        <f>F83*K83</f>
        <v>0.1388</v>
      </c>
      <c r="M83" s="56" t="s">
        <v>449</v>
      </c>
      <c r="P83" s="61">
        <f>IF(AG83="5",J83,0)</f>
        <v>0</v>
      </c>
      <c r="R83" s="61">
        <f>IF(AG83="1",H83,0)</f>
        <v>0</v>
      </c>
      <c r="S83" s="61">
        <f>IF(AG83="1",I83,0)</f>
        <v>0</v>
      </c>
      <c r="T83" s="61">
        <f>IF(AG83="7",H83,0)</f>
        <v>0</v>
      </c>
      <c r="U83" s="61">
        <f>IF(AG83="7",I83,0)</f>
        <v>0</v>
      </c>
      <c r="V83" s="61">
        <f>IF(AG83="2",H83,0)</f>
        <v>0</v>
      </c>
      <c r="W83" s="61">
        <f>IF(AG83="2",I83,0)</f>
        <v>0</v>
      </c>
      <c r="X83" s="61">
        <f>IF(AG83="0",J83,0)</f>
        <v>0</v>
      </c>
      <c r="Y83" s="50"/>
      <c r="Z83" s="34">
        <f>IF(AD83=0,J83,0)</f>
        <v>0</v>
      </c>
      <c r="AA83" s="34">
        <f>IF(AD83=15,J83,0)</f>
        <v>0</v>
      </c>
      <c r="AB83" s="34">
        <f>IF(AD83=21,J83,0)</f>
        <v>0</v>
      </c>
      <c r="AD83" s="61">
        <v>21</v>
      </c>
      <c r="AE83" s="61">
        <f>G83*0</f>
        <v>0</v>
      </c>
      <c r="AF83" s="61">
        <f>G83*(1-0)</f>
        <v>0</v>
      </c>
      <c r="AG83" s="56" t="s">
        <v>13</v>
      </c>
      <c r="AM83" s="61">
        <f>F83*AE83</f>
        <v>0</v>
      </c>
      <c r="AN83" s="61">
        <f>F83*AF83</f>
        <v>0</v>
      </c>
      <c r="AO83" s="62" t="s">
        <v>469</v>
      </c>
      <c r="AP83" s="62" t="s">
        <v>487</v>
      </c>
      <c r="AQ83" s="50" t="s">
        <v>493</v>
      </c>
      <c r="AS83" s="61">
        <f>AM83+AN83</f>
        <v>0</v>
      </c>
      <c r="AT83" s="61">
        <f>G83/(100-AU83)*100</f>
        <v>0</v>
      </c>
      <c r="AU83" s="61">
        <v>0</v>
      </c>
      <c r="AV83" s="61">
        <f>L83</f>
        <v>0.1388</v>
      </c>
    </row>
    <row r="84" spans="1:48" ht="12.75">
      <c r="A84" s="12" t="s">
        <v>52</v>
      </c>
      <c r="B84" s="12"/>
      <c r="C84" s="12" t="s">
        <v>173</v>
      </c>
      <c r="D84" s="12" t="s">
        <v>326</v>
      </c>
      <c r="E84" s="12" t="s">
        <v>430</v>
      </c>
      <c r="F84" s="35">
        <v>14</v>
      </c>
      <c r="G84" s="35">
        <v>0</v>
      </c>
      <c r="H84" s="35">
        <f>F84*AE84</f>
        <v>0</v>
      </c>
      <c r="I84" s="35">
        <f>J84-H84</f>
        <v>0</v>
      </c>
      <c r="J84" s="35">
        <f>F84*G84</f>
        <v>0</v>
      </c>
      <c r="K84" s="35">
        <v>0.011</v>
      </c>
      <c r="L84" s="35">
        <f>F84*K84</f>
        <v>0.154</v>
      </c>
      <c r="M84" s="57" t="s">
        <v>449</v>
      </c>
      <c r="P84" s="61">
        <f>IF(AG84="5",J84,0)</f>
        <v>0</v>
      </c>
      <c r="R84" s="61">
        <f>IF(AG84="1",H84,0)</f>
        <v>0</v>
      </c>
      <c r="S84" s="61">
        <f>IF(AG84="1",I84,0)</f>
        <v>0</v>
      </c>
      <c r="T84" s="61">
        <f>IF(AG84="7",H84,0)</f>
        <v>0</v>
      </c>
      <c r="U84" s="61">
        <f>IF(AG84="7",I84,0)</f>
        <v>0</v>
      </c>
      <c r="V84" s="61">
        <f>IF(AG84="2",H84,0)</f>
        <v>0</v>
      </c>
      <c r="W84" s="61">
        <f>IF(AG84="2",I84,0)</f>
        <v>0</v>
      </c>
      <c r="X84" s="61">
        <f>IF(AG84="0",J84,0)</f>
        <v>0</v>
      </c>
      <c r="Y84" s="50"/>
      <c r="Z84" s="35">
        <f>IF(AD84=0,J84,0)</f>
        <v>0</v>
      </c>
      <c r="AA84" s="35">
        <f>IF(AD84=15,J84,0)</f>
        <v>0</v>
      </c>
      <c r="AB84" s="35">
        <f>IF(AD84=21,J84,0)</f>
        <v>0</v>
      </c>
      <c r="AD84" s="61">
        <v>21</v>
      </c>
      <c r="AE84" s="61">
        <f>G84*1</f>
        <v>0</v>
      </c>
      <c r="AF84" s="61">
        <f>G84*(1-1)</f>
        <v>0</v>
      </c>
      <c r="AG84" s="57" t="s">
        <v>13</v>
      </c>
      <c r="AM84" s="61">
        <f>F84*AE84</f>
        <v>0</v>
      </c>
      <c r="AN84" s="61">
        <f>F84*AF84</f>
        <v>0</v>
      </c>
      <c r="AO84" s="62" t="s">
        <v>469</v>
      </c>
      <c r="AP84" s="62" t="s">
        <v>487</v>
      </c>
      <c r="AQ84" s="50" t="s">
        <v>493</v>
      </c>
      <c r="AS84" s="61">
        <f>AM84+AN84</f>
        <v>0</v>
      </c>
      <c r="AT84" s="61">
        <f>G84/(100-AU84)*100</f>
        <v>0</v>
      </c>
      <c r="AU84" s="61">
        <v>0</v>
      </c>
      <c r="AV84" s="61">
        <f>L84</f>
        <v>0.154</v>
      </c>
    </row>
    <row r="85" spans="1:48" ht="12.75">
      <c r="A85" s="10" t="s">
        <v>53</v>
      </c>
      <c r="B85" s="10"/>
      <c r="C85" s="10" t="s">
        <v>174</v>
      </c>
      <c r="D85" s="10" t="s">
        <v>327</v>
      </c>
      <c r="E85" s="10" t="s">
        <v>429</v>
      </c>
      <c r="F85" s="34">
        <v>20.99</v>
      </c>
      <c r="G85" s="34">
        <v>0</v>
      </c>
      <c r="H85" s="34">
        <f>F85*AE85</f>
        <v>0</v>
      </c>
      <c r="I85" s="34">
        <f>J85-H85</f>
        <v>0</v>
      </c>
      <c r="J85" s="34">
        <f>F85*G85</f>
        <v>0</v>
      </c>
      <c r="K85" s="34">
        <v>0.00017</v>
      </c>
      <c r="L85" s="34">
        <f>F85*K85</f>
        <v>0.0035683</v>
      </c>
      <c r="M85" s="56" t="s">
        <v>449</v>
      </c>
      <c r="P85" s="61">
        <f>IF(AG85="5",J85,0)</f>
        <v>0</v>
      </c>
      <c r="R85" s="61">
        <f>IF(AG85="1",H85,0)</f>
        <v>0</v>
      </c>
      <c r="S85" s="61">
        <f>IF(AG85="1",I85,0)</f>
        <v>0</v>
      </c>
      <c r="T85" s="61">
        <f>IF(AG85="7",H85,0)</f>
        <v>0</v>
      </c>
      <c r="U85" s="61">
        <f>IF(AG85="7",I85,0)</f>
        <v>0</v>
      </c>
      <c r="V85" s="61">
        <f>IF(AG85="2",H85,0)</f>
        <v>0</v>
      </c>
      <c r="W85" s="61">
        <f>IF(AG85="2",I85,0)</f>
        <v>0</v>
      </c>
      <c r="X85" s="61">
        <f>IF(AG85="0",J85,0)</f>
        <v>0</v>
      </c>
      <c r="Y85" s="50"/>
      <c r="Z85" s="34">
        <f>IF(AD85=0,J85,0)</f>
        <v>0</v>
      </c>
      <c r="AA85" s="34">
        <f>IF(AD85=15,J85,0)</f>
        <v>0</v>
      </c>
      <c r="AB85" s="34">
        <f>IF(AD85=21,J85,0)</f>
        <v>0</v>
      </c>
      <c r="AD85" s="61">
        <v>21</v>
      </c>
      <c r="AE85" s="61">
        <f>G85*0.112515644555695</f>
        <v>0</v>
      </c>
      <c r="AF85" s="61">
        <f>G85*(1-0.112515644555695)</f>
        <v>0</v>
      </c>
      <c r="AG85" s="56" t="s">
        <v>13</v>
      </c>
      <c r="AM85" s="61">
        <f>F85*AE85</f>
        <v>0</v>
      </c>
      <c r="AN85" s="61">
        <f>F85*AF85</f>
        <v>0</v>
      </c>
      <c r="AO85" s="62" t="s">
        <v>469</v>
      </c>
      <c r="AP85" s="62" t="s">
        <v>487</v>
      </c>
      <c r="AQ85" s="50" t="s">
        <v>493</v>
      </c>
      <c r="AS85" s="61">
        <f>AM85+AN85</f>
        <v>0</v>
      </c>
      <c r="AT85" s="61">
        <f>G85/(100-AU85)*100</f>
        <v>0</v>
      </c>
      <c r="AU85" s="61">
        <v>0</v>
      </c>
      <c r="AV85" s="61">
        <f>L85</f>
        <v>0.0035683</v>
      </c>
    </row>
    <row r="86" spans="1:48" ht="12.75">
      <c r="A86" s="12" t="s">
        <v>54</v>
      </c>
      <c r="B86" s="12"/>
      <c r="C86" s="12" t="s">
        <v>175</v>
      </c>
      <c r="D86" s="12" t="s">
        <v>328</v>
      </c>
      <c r="E86" s="12" t="s">
        <v>430</v>
      </c>
      <c r="F86" s="35">
        <v>13</v>
      </c>
      <c r="G86" s="35">
        <v>0</v>
      </c>
      <c r="H86" s="35">
        <f>F86*AE86</f>
        <v>0</v>
      </c>
      <c r="I86" s="35">
        <f>J86-H86</f>
        <v>0</v>
      </c>
      <c r="J86" s="35">
        <f>F86*G86</f>
        <v>0</v>
      </c>
      <c r="K86" s="35">
        <v>0.045</v>
      </c>
      <c r="L86" s="35">
        <f>F86*K86</f>
        <v>0.585</v>
      </c>
      <c r="M86" s="57" t="s">
        <v>449</v>
      </c>
      <c r="P86" s="61">
        <f>IF(AG86="5",J86,0)</f>
        <v>0</v>
      </c>
      <c r="R86" s="61">
        <f>IF(AG86="1",H86,0)</f>
        <v>0</v>
      </c>
      <c r="S86" s="61">
        <f>IF(AG86="1",I86,0)</f>
        <v>0</v>
      </c>
      <c r="T86" s="61">
        <f>IF(AG86="7",H86,0)</f>
        <v>0</v>
      </c>
      <c r="U86" s="61">
        <f>IF(AG86="7",I86,0)</f>
        <v>0</v>
      </c>
      <c r="V86" s="61">
        <f>IF(AG86="2",H86,0)</f>
        <v>0</v>
      </c>
      <c r="W86" s="61">
        <f>IF(AG86="2",I86,0)</f>
        <v>0</v>
      </c>
      <c r="X86" s="61">
        <f>IF(AG86="0",J86,0)</f>
        <v>0</v>
      </c>
      <c r="Y86" s="50"/>
      <c r="Z86" s="35">
        <f>IF(AD86=0,J86,0)</f>
        <v>0</v>
      </c>
      <c r="AA86" s="35">
        <f>IF(AD86=15,J86,0)</f>
        <v>0</v>
      </c>
      <c r="AB86" s="35">
        <f>IF(AD86=21,J86,0)</f>
        <v>0</v>
      </c>
      <c r="AD86" s="61">
        <v>21</v>
      </c>
      <c r="AE86" s="61">
        <f>G86*1</f>
        <v>0</v>
      </c>
      <c r="AF86" s="61">
        <f>G86*(1-1)</f>
        <v>0</v>
      </c>
      <c r="AG86" s="57" t="s">
        <v>13</v>
      </c>
      <c r="AM86" s="61">
        <f>F86*AE86</f>
        <v>0</v>
      </c>
      <c r="AN86" s="61">
        <f>F86*AF86</f>
        <v>0</v>
      </c>
      <c r="AO86" s="62" t="s">
        <v>469</v>
      </c>
      <c r="AP86" s="62" t="s">
        <v>487</v>
      </c>
      <c r="AQ86" s="50" t="s">
        <v>493</v>
      </c>
      <c r="AS86" s="61">
        <f>AM86+AN86</f>
        <v>0</v>
      </c>
      <c r="AT86" s="61">
        <f>G86/(100-AU86)*100</f>
        <v>0</v>
      </c>
      <c r="AU86" s="61">
        <v>0</v>
      </c>
      <c r="AV86" s="61">
        <f>L86</f>
        <v>0.585</v>
      </c>
    </row>
    <row r="87" spans="1:48" ht="12.75">
      <c r="A87" s="10" t="s">
        <v>55</v>
      </c>
      <c r="B87" s="10"/>
      <c r="C87" s="10" t="s">
        <v>176</v>
      </c>
      <c r="D87" s="10" t="s">
        <v>329</v>
      </c>
      <c r="E87" s="10" t="s">
        <v>430</v>
      </c>
      <c r="F87" s="34">
        <v>13</v>
      </c>
      <c r="G87" s="34">
        <v>0</v>
      </c>
      <c r="H87" s="34">
        <f>F87*AE87</f>
        <v>0</v>
      </c>
      <c r="I87" s="34">
        <f>J87-H87</f>
        <v>0</v>
      </c>
      <c r="J87" s="34">
        <f>F87*G87</f>
        <v>0</v>
      </c>
      <c r="K87" s="34">
        <v>0.25168</v>
      </c>
      <c r="L87" s="34">
        <f>F87*K87</f>
        <v>3.27184</v>
      </c>
      <c r="M87" s="56" t="s">
        <v>449</v>
      </c>
      <c r="P87" s="61">
        <f>IF(AG87="5",J87,0)</f>
        <v>0</v>
      </c>
      <c r="R87" s="61">
        <f>IF(AG87="1",H87,0)</f>
        <v>0</v>
      </c>
      <c r="S87" s="61">
        <f>IF(AG87="1",I87,0)</f>
        <v>0</v>
      </c>
      <c r="T87" s="61">
        <f>IF(AG87="7",H87,0)</f>
        <v>0</v>
      </c>
      <c r="U87" s="61">
        <f>IF(AG87="7",I87,0)</f>
        <v>0</v>
      </c>
      <c r="V87" s="61">
        <f>IF(AG87="2",H87,0)</f>
        <v>0</v>
      </c>
      <c r="W87" s="61">
        <f>IF(AG87="2",I87,0)</f>
        <v>0</v>
      </c>
      <c r="X87" s="61">
        <f>IF(AG87="0",J87,0)</f>
        <v>0</v>
      </c>
      <c r="Y87" s="50"/>
      <c r="Z87" s="34">
        <f>IF(AD87=0,J87,0)</f>
        <v>0</v>
      </c>
      <c r="AA87" s="34">
        <f>IF(AD87=15,J87,0)</f>
        <v>0</v>
      </c>
      <c r="AB87" s="34">
        <f>IF(AD87=21,J87,0)</f>
        <v>0</v>
      </c>
      <c r="AD87" s="61">
        <v>21</v>
      </c>
      <c r="AE87" s="61">
        <f>G87*0.0860289855072464</f>
        <v>0</v>
      </c>
      <c r="AF87" s="61">
        <f>G87*(1-0.0860289855072464)</f>
        <v>0</v>
      </c>
      <c r="AG87" s="56" t="s">
        <v>8</v>
      </c>
      <c r="AM87" s="61">
        <f>F87*AE87</f>
        <v>0</v>
      </c>
      <c r="AN87" s="61">
        <f>F87*AF87</f>
        <v>0</v>
      </c>
      <c r="AO87" s="62" t="s">
        <v>469</v>
      </c>
      <c r="AP87" s="62" t="s">
        <v>487</v>
      </c>
      <c r="AQ87" s="50" t="s">
        <v>493</v>
      </c>
      <c r="AS87" s="61">
        <f>AM87+AN87</f>
        <v>0</v>
      </c>
      <c r="AT87" s="61">
        <f>G87/(100-AU87)*100</f>
        <v>0</v>
      </c>
      <c r="AU87" s="61">
        <v>0</v>
      </c>
      <c r="AV87" s="61">
        <f>L87</f>
        <v>3.27184</v>
      </c>
    </row>
    <row r="88" spans="1:48" ht="12.75">
      <c r="A88" s="10" t="s">
        <v>56</v>
      </c>
      <c r="B88" s="10"/>
      <c r="C88" s="10" t="s">
        <v>177</v>
      </c>
      <c r="D88" s="10" t="s">
        <v>330</v>
      </c>
      <c r="E88" s="10" t="s">
        <v>432</v>
      </c>
      <c r="F88" s="34">
        <v>1</v>
      </c>
      <c r="G88" s="34">
        <v>0</v>
      </c>
      <c r="H88" s="34">
        <f>F88*AE88</f>
        <v>0</v>
      </c>
      <c r="I88" s="34">
        <f>J88-H88</f>
        <v>0</v>
      </c>
      <c r="J88" s="34">
        <f>F88*G88</f>
        <v>0</v>
      </c>
      <c r="K88" s="34">
        <v>0.0022</v>
      </c>
      <c r="L88" s="34">
        <f>F88*K88</f>
        <v>0.0022</v>
      </c>
      <c r="M88" s="56" t="s">
        <v>449</v>
      </c>
      <c r="P88" s="61">
        <f>IF(AG88="5",J88,0)</f>
        <v>0</v>
      </c>
      <c r="R88" s="61">
        <f>IF(AG88="1",H88,0)</f>
        <v>0</v>
      </c>
      <c r="S88" s="61">
        <f>IF(AG88="1",I88,0)</f>
        <v>0</v>
      </c>
      <c r="T88" s="61">
        <f>IF(AG88="7",H88,0)</f>
        <v>0</v>
      </c>
      <c r="U88" s="61">
        <f>IF(AG88="7",I88,0)</f>
        <v>0</v>
      </c>
      <c r="V88" s="61">
        <f>IF(AG88="2",H88,0)</f>
        <v>0</v>
      </c>
      <c r="W88" s="61">
        <f>IF(AG88="2",I88,0)</f>
        <v>0</v>
      </c>
      <c r="X88" s="61">
        <f>IF(AG88="0",J88,0)</f>
        <v>0</v>
      </c>
      <c r="Y88" s="50"/>
      <c r="Z88" s="34">
        <f>IF(AD88=0,J88,0)</f>
        <v>0</v>
      </c>
      <c r="AA88" s="34">
        <f>IF(AD88=15,J88,0)</f>
        <v>0</v>
      </c>
      <c r="AB88" s="34">
        <f>IF(AD88=21,J88,0)</f>
        <v>0</v>
      </c>
      <c r="AD88" s="61">
        <v>21</v>
      </c>
      <c r="AE88" s="61">
        <f>G88*0.960085245901639</f>
        <v>0</v>
      </c>
      <c r="AF88" s="61">
        <f>G88*(1-0.960085245901639)</f>
        <v>0</v>
      </c>
      <c r="AG88" s="56" t="s">
        <v>13</v>
      </c>
      <c r="AM88" s="61">
        <f>F88*AE88</f>
        <v>0</v>
      </c>
      <c r="AN88" s="61">
        <f>F88*AF88</f>
        <v>0</v>
      </c>
      <c r="AO88" s="62" t="s">
        <v>469</v>
      </c>
      <c r="AP88" s="62" t="s">
        <v>487</v>
      </c>
      <c r="AQ88" s="50" t="s">
        <v>493</v>
      </c>
      <c r="AS88" s="61">
        <f>AM88+AN88</f>
        <v>0</v>
      </c>
      <c r="AT88" s="61">
        <f>G88/(100-AU88)*100</f>
        <v>0</v>
      </c>
      <c r="AU88" s="61">
        <v>0</v>
      </c>
      <c r="AV88" s="61">
        <f>L88</f>
        <v>0.0022</v>
      </c>
    </row>
    <row r="89" spans="1:48" ht="12.75">
      <c r="A89" s="10" t="s">
        <v>57</v>
      </c>
      <c r="B89" s="10"/>
      <c r="C89" s="10" t="s">
        <v>178</v>
      </c>
      <c r="D89" s="10" t="s">
        <v>331</v>
      </c>
      <c r="E89" s="10" t="s">
        <v>432</v>
      </c>
      <c r="F89" s="34">
        <v>1</v>
      </c>
      <c r="G89" s="34">
        <v>0</v>
      </c>
      <c r="H89" s="34">
        <f>F89*AE89</f>
        <v>0</v>
      </c>
      <c r="I89" s="34">
        <f>J89-H89</f>
        <v>0</v>
      </c>
      <c r="J89" s="34">
        <f>F89*G89</f>
        <v>0</v>
      </c>
      <c r="K89" s="34">
        <v>0.0018</v>
      </c>
      <c r="L89" s="34">
        <f>F89*K89</f>
        <v>0.0018</v>
      </c>
      <c r="M89" s="56" t="s">
        <v>449</v>
      </c>
      <c r="P89" s="61">
        <f>IF(AG89="5",J89,0)</f>
        <v>0</v>
      </c>
      <c r="R89" s="61">
        <f>IF(AG89="1",H89,0)</f>
        <v>0</v>
      </c>
      <c r="S89" s="61">
        <f>IF(AG89="1",I89,0)</f>
        <v>0</v>
      </c>
      <c r="T89" s="61">
        <f>IF(AG89="7",H89,0)</f>
        <v>0</v>
      </c>
      <c r="U89" s="61">
        <f>IF(AG89="7",I89,0)</f>
        <v>0</v>
      </c>
      <c r="V89" s="61">
        <f>IF(AG89="2",H89,0)</f>
        <v>0</v>
      </c>
      <c r="W89" s="61">
        <f>IF(AG89="2",I89,0)</f>
        <v>0</v>
      </c>
      <c r="X89" s="61">
        <f>IF(AG89="0",J89,0)</f>
        <v>0</v>
      </c>
      <c r="Y89" s="50"/>
      <c r="Z89" s="34">
        <f>IF(AD89=0,J89,0)</f>
        <v>0</v>
      </c>
      <c r="AA89" s="34">
        <f>IF(AD89=15,J89,0)</f>
        <v>0</v>
      </c>
      <c r="AB89" s="34">
        <f>IF(AD89=21,J89,0)</f>
        <v>0</v>
      </c>
      <c r="AD89" s="61">
        <v>21</v>
      </c>
      <c r="AE89" s="61">
        <f>G89*0.93517571884984</f>
        <v>0</v>
      </c>
      <c r="AF89" s="61">
        <f>G89*(1-0.93517571884984)</f>
        <v>0</v>
      </c>
      <c r="AG89" s="56" t="s">
        <v>13</v>
      </c>
      <c r="AM89" s="61">
        <f>F89*AE89</f>
        <v>0</v>
      </c>
      <c r="AN89" s="61">
        <f>F89*AF89</f>
        <v>0</v>
      </c>
      <c r="AO89" s="62" t="s">
        <v>469</v>
      </c>
      <c r="AP89" s="62" t="s">
        <v>487</v>
      </c>
      <c r="AQ89" s="50" t="s">
        <v>493</v>
      </c>
      <c r="AS89" s="61">
        <f>AM89+AN89</f>
        <v>0</v>
      </c>
      <c r="AT89" s="61">
        <f>G89/(100-AU89)*100</f>
        <v>0</v>
      </c>
      <c r="AU89" s="61">
        <v>0</v>
      </c>
      <c r="AV89" s="61">
        <f>L89</f>
        <v>0.0018</v>
      </c>
    </row>
    <row r="90" spans="1:48" ht="12.75">
      <c r="A90" s="10" t="s">
        <v>58</v>
      </c>
      <c r="B90" s="10"/>
      <c r="C90" s="10" t="s">
        <v>179</v>
      </c>
      <c r="D90" s="10" t="s">
        <v>332</v>
      </c>
      <c r="E90" s="10" t="s">
        <v>432</v>
      </c>
      <c r="F90" s="34">
        <v>1</v>
      </c>
      <c r="G90" s="34">
        <v>0</v>
      </c>
      <c r="H90" s="34">
        <f>F90*AE90</f>
        <v>0</v>
      </c>
      <c r="I90" s="34">
        <f>J90-H90</f>
        <v>0</v>
      </c>
      <c r="J90" s="34">
        <f>F90*G90</f>
        <v>0</v>
      </c>
      <c r="K90" s="34">
        <v>0.0013</v>
      </c>
      <c r="L90" s="34">
        <f>F90*K90</f>
        <v>0.0013</v>
      </c>
      <c r="M90" s="56" t="s">
        <v>449</v>
      </c>
      <c r="P90" s="61">
        <f>IF(AG90="5",J90,0)</f>
        <v>0</v>
      </c>
      <c r="R90" s="61">
        <f>IF(AG90="1",H90,0)</f>
        <v>0</v>
      </c>
      <c r="S90" s="61">
        <f>IF(AG90="1",I90,0)</f>
        <v>0</v>
      </c>
      <c r="T90" s="61">
        <f>IF(AG90="7",H90,0)</f>
        <v>0</v>
      </c>
      <c r="U90" s="61">
        <f>IF(AG90="7",I90,0)</f>
        <v>0</v>
      </c>
      <c r="V90" s="61">
        <f>IF(AG90="2",H90,0)</f>
        <v>0</v>
      </c>
      <c r="W90" s="61">
        <f>IF(AG90="2",I90,0)</f>
        <v>0</v>
      </c>
      <c r="X90" s="61">
        <f>IF(AG90="0",J90,0)</f>
        <v>0</v>
      </c>
      <c r="Y90" s="50"/>
      <c r="Z90" s="34">
        <f>IF(AD90=0,J90,0)</f>
        <v>0</v>
      </c>
      <c r="AA90" s="34">
        <f>IF(AD90=15,J90,0)</f>
        <v>0</v>
      </c>
      <c r="AB90" s="34">
        <f>IF(AD90=21,J90,0)</f>
        <v>0</v>
      </c>
      <c r="AD90" s="61">
        <v>21</v>
      </c>
      <c r="AE90" s="61">
        <f>G90*0.922264705882353</f>
        <v>0</v>
      </c>
      <c r="AF90" s="61">
        <f>G90*(1-0.922264705882353)</f>
        <v>0</v>
      </c>
      <c r="AG90" s="56" t="s">
        <v>13</v>
      </c>
      <c r="AM90" s="61">
        <f>F90*AE90</f>
        <v>0</v>
      </c>
      <c r="AN90" s="61">
        <f>F90*AF90</f>
        <v>0</v>
      </c>
      <c r="AO90" s="62" t="s">
        <v>469</v>
      </c>
      <c r="AP90" s="62" t="s">
        <v>487</v>
      </c>
      <c r="AQ90" s="50" t="s">
        <v>493</v>
      </c>
      <c r="AS90" s="61">
        <f>AM90+AN90</f>
        <v>0</v>
      </c>
      <c r="AT90" s="61">
        <f>G90/(100-AU90)*100</f>
        <v>0</v>
      </c>
      <c r="AU90" s="61">
        <v>0</v>
      </c>
      <c r="AV90" s="61">
        <f>L90</f>
        <v>0.0013</v>
      </c>
    </row>
    <row r="91" spans="1:48" ht="12.75">
      <c r="A91" s="10" t="s">
        <v>59</v>
      </c>
      <c r="B91" s="10"/>
      <c r="C91" s="10" t="s">
        <v>180</v>
      </c>
      <c r="D91" s="10" t="s">
        <v>333</v>
      </c>
      <c r="E91" s="10" t="s">
        <v>428</v>
      </c>
      <c r="F91" s="34">
        <v>5.01775</v>
      </c>
      <c r="G91" s="34">
        <v>0</v>
      </c>
      <c r="H91" s="34">
        <f>F91*AE91</f>
        <v>0</v>
      </c>
      <c r="I91" s="34">
        <f>J91-H91</f>
        <v>0</v>
      </c>
      <c r="J91" s="34">
        <f>F91*G91</f>
        <v>0</v>
      </c>
      <c r="K91" s="34">
        <v>0</v>
      </c>
      <c r="L91" s="34">
        <f>F91*K91</f>
        <v>0</v>
      </c>
      <c r="M91" s="56" t="s">
        <v>449</v>
      </c>
      <c r="P91" s="61">
        <f>IF(AG91="5",J91,0)</f>
        <v>0</v>
      </c>
      <c r="R91" s="61">
        <f>IF(AG91="1",H91,0)</f>
        <v>0</v>
      </c>
      <c r="S91" s="61">
        <f>IF(AG91="1",I91,0)</f>
        <v>0</v>
      </c>
      <c r="T91" s="61">
        <f>IF(AG91="7",H91,0)</f>
        <v>0</v>
      </c>
      <c r="U91" s="61">
        <f>IF(AG91="7",I91,0)</f>
        <v>0</v>
      </c>
      <c r="V91" s="61">
        <f>IF(AG91="2",H91,0)</f>
        <v>0</v>
      </c>
      <c r="W91" s="61">
        <f>IF(AG91="2",I91,0)</f>
        <v>0</v>
      </c>
      <c r="X91" s="61">
        <f>IF(AG91="0",J91,0)</f>
        <v>0</v>
      </c>
      <c r="Y91" s="50"/>
      <c r="Z91" s="34">
        <f>IF(AD91=0,J91,0)</f>
        <v>0</v>
      </c>
      <c r="AA91" s="34">
        <f>IF(AD91=15,J91,0)</f>
        <v>0</v>
      </c>
      <c r="AB91" s="34">
        <f>IF(AD91=21,J91,0)</f>
        <v>0</v>
      </c>
      <c r="AD91" s="61">
        <v>21</v>
      </c>
      <c r="AE91" s="61">
        <f>G91*0</f>
        <v>0</v>
      </c>
      <c r="AF91" s="61">
        <f>G91*(1-0)</f>
        <v>0</v>
      </c>
      <c r="AG91" s="56" t="s">
        <v>11</v>
      </c>
      <c r="AM91" s="61">
        <f>F91*AE91</f>
        <v>0</v>
      </c>
      <c r="AN91" s="61">
        <f>F91*AF91</f>
        <v>0</v>
      </c>
      <c r="AO91" s="62" t="s">
        <v>469</v>
      </c>
      <c r="AP91" s="62" t="s">
        <v>487</v>
      </c>
      <c r="AQ91" s="50" t="s">
        <v>493</v>
      </c>
      <c r="AS91" s="61">
        <f>AM91+AN91</f>
        <v>0</v>
      </c>
      <c r="AT91" s="61">
        <f>G91/(100-AU91)*100</f>
        <v>0</v>
      </c>
      <c r="AU91" s="61">
        <v>0</v>
      </c>
      <c r="AV91" s="61">
        <f>L91</f>
        <v>0</v>
      </c>
    </row>
    <row r="92" spans="1:37" ht="12.75">
      <c r="A92" s="11"/>
      <c r="B92" s="24"/>
      <c r="C92" s="24" t="s">
        <v>181</v>
      </c>
      <c r="D92" s="24" t="s">
        <v>334</v>
      </c>
      <c r="E92" s="32"/>
      <c r="F92" s="32"/>
      <c r="G92" s="32"/>
      <c r="H92" s="64">
        <f>SUM(H93:H93)</f>
        <v>0</v>
      </c>
      <c r="I92" s="64">
        <f>SUM(I93:I93)</f>
        <v>0</v>
      </c>
      <c r="J92" s="64">
        <f>H92+I92</f>
        <v>0</v>
      </c>
      <c r="K92" s="50"/>
      <c r="L92" s="64">
        <f>SUM(L93:L93)</f>
        <v>0.5</v>
      </c>
      <c r="M92" s="50"/>
      <c r="Y92" s="50"/>
      <c r="AI92" s="64">
        <f>SUM(Z93:Z93)</f>
        <v>0</v>
      </c>
      <c r="AJ92" s="64">
        <f>SUM(AA93:AA93)</f>
        <v>0</v>
      </c>
      <c r="AK92" s="64">
        <f>SUM(AB93:AB93)</f>
        <v>0</v>
      </c>
    </row>
    <row r="93" spans="1:48" ht="12.75">
      <c r="A93" s="10" t="s">
        <v>60</v>
      </c>
      <c r="B93" s="10"/>
      <c r="C93" s="10" t="s">
        <v>182</v>
      </c>
      <c r="D93" s="10" t="s">
        <v>334</v>
      </c>
      <c r="E93" s="10" t="s">
        <v>431</v>
      </c>
      <c r="F93" s="34">
        <v>1</v>
      </c>
      <c r="G93" s="34">
        <v>0</v>
      </c>
      <c r="H93" s="34">
        <f>F93*AE93</f>
        <v>0</v>
      </c>
      <c r="I93" s="34">
        <f>J93-H93</f>
        <v>0</v>
      </c>
      <c r="J93" s="34">
        <f>F93*G93</f>
        <v>0</v>
      </c>
      <c r="K93" s="34">
        <v>0.5</v>
      </c>
      <c r="L93" s="34">
        <f>F93*K93</f>
        <v>0.5</v>
      </c>
      <c r="M93" s="56" t="s">
        <v>449</v>
      </c>
      <c r="P93" s="61">
        <f>IF(AG93="5",J93,0)</f>
        <v>0</v>
      </c>
      <c r="R93" s="61">
        <f>IF(AG93="1",H93,0)</f>
        <v>0</v>
      </c>
      <c r="S93" s="61">
        <f>IF(AG93="1",I93,0)</f>
        <v>0</v>
      </c>
      <c r="T93" s="61">
        <f>IF(AG93="7",H93,0)</f>
        <v>0</v>
      </c>
      <c r="U93" s="61">
        <f>IF(AG93="7",I93,0)</f>
        <v>0</v>
      </c>
      <c r="V93" s="61">
        <f>IF(AG93="2",H93,0)</f>
        <v>0</v>
      </c>
      <c r="W93" s="61">
        <f>IF(AG93="2",I93,0)</f>
        <v>0</v>
      </c>
      <c r="X93" s="61">
        <f>IF(AG93="0",J93,0)</f>
        <v>0</v>
      </c>
      <c r="Y93" s="50"/>
      <c r="Z93" s="34">
        <f>IF(AD93=0,J93,0)</f>
        <v>0</v>
      </c>
      <c r="AA93" s="34">
        <f>IF(AD93=15,J93,0)</f>
        <v>0</v>
      </c>
      <c r="AB93" s="34">
        <f>IF(AD93=21,J93,0)</f>
        <v>0</v>
      </c>
      <c r="AD93" s="61">
        <v>21</v>
      </c>
      <c r="AE93" s="61">
        <f>G93*0.782462453840747</f>
        <v>0</v>
      </c>
      <c r="AF93" s="61">
        <f>G93*(1-0.782462453840747)</f>
        <v>0</v>
      </c>
      <c r="AG93" s="56" t="s">
        <v>13</v>
      </c>
      <c r="AM93" s="61">
        <f>F93*AE93</f>
        <v>0</v>
      </c>
      <c r="AN93" s="61">
        <f>F93*AF93</f>
        <v>0</v>
      </c>
      <c r="AO93" s="62" t="s">
        <v>470</v>
      </c>
      <c r="AP93" s="62" t="s">
        <v>487</v>
      </c>
      <c r="AQ93" s="50" t="s">
        <v>493</v>
      </c>
      <c r="AS93" s="61">
        <f>AM93+AN93</f>
        <v>0</v>
      </c>
      <c r="AT93" s="61">
        <f>G93/(100-AU93)*100</f>
        <v>0</v>
      </c>
      <c r="AU93" s="61">
        <v>0</v>
      </c>
      <c r="AV93" s="61">
        <f>L93</f>
        <v>0.5</v>
      </c>
    </row>
    <row r="94" ht="12.75">
      <c r="D94" s="28" t="s">
        <v>335</v>
      </c>
    </row>
    <row r="95" spans="1:37" ht="12.75">
      <c r="A95" s="11"/>
      <c r="B95" s="24"/>
      <c r="C95" s="24" t="s">
        <v>183</v>
      </c>
      <c r="D95" s="24" t="s">
        <v>336</v>
      </c>
      <c r="E95" s="32"/>
      <c r="F95" s="32"/>
      <c r="G95" s="32"/>
      <c r="H95" s="64">
        <f>SUM(H96:H97)</f>
        <v>0</v>
      </c>
      <c r="I95" s="64">
        <f>SUM(I96:I97)</f>
        <v>0</v>
      </c>
      <c r="J95" s="64">
        <f>H95+I95</f>
        <v>0</v>
      </c>
      <c r="K95" s="50"/>
      <c r="L95" s="64">
        <f>SUM(L96:L97)</f>
        <v>0.5</v>
      </c>
      <c r="M95" s="50"/>
      <c r="Y95" s="50"/>
      <c r="AI95" s="64">
        <f>SUM(Z96:Z97)</f>
        <v>0</v>
      </c>
      <c r="AJ95" s="64">
        <f>SUM(AA96:AA97)</f>
        <v>0</v>
      </c>
      <c r="AK95" s="64">
        <f>SUM(AB96:AB97)</f>
        <v>0</v>
      </c>
    </row>
    <row r="96" spans="1:48" ht="12.75">
      <c r="A96" s="10" t="s">
        <v>61</v>
      </c>
      <c r="B96" s="10"/>
      <c r="C96" s="10" t="s">
        <v>184</v>
      </c>
      <c r="D96" s="10" t="s">
        <v>337</v>
      </c>
      <c r="E96" s="10" t="s">
        <v>431</v>
      </c>
      <c r="F96" s="34">
        <v>1</v>
      </c>
      <c r="G96" s="34">
        <v>0</v>
      </c>
      <c r="H96" s="34">
        <f>F96*AE96</f>
        <v>0</v>
      </c>
      <c r="I96" s="34">
        <f>J96-H96</f>
        <v>0</v>
      </c>
      <c r="J96" s="34">
        <f>F96*G96</f>
        <v>0</v>
      </c>
      <c r="K96" s="34">
        <v>0.5</v>
      </c>
      <c r="L96" s="34">
        <f>F96*K96</f>
        <v>0.5</v>
      </c>
      <c r="M96" s="56" t="s">
        <v>449</v>
      </c>
      <c r="P96" s="61">
        <f>IF(AG96="5",J96,0)</f>
        <v>0</v>
      </c>
      <c r="R96" s="61">
        <f>IF(AG96="1",H96,0)</f>
        <v>0</v>
      </c>
      <c r="S96" s="61">
        <f>IF(AG96="1",I96,0)</f>
        <v>0</v>
      </c>
      <c r="T96" s="61">
        <f>IF(AG96="7",H96,0)</f>
        <v>0</v>
      </c>
      <c r="U96" s="61">
        <f>IF(AG96="7",I96,0)</f>
        <v>0</v>
      </c>
      <c r="V96" s="61">
        <f>IF(AG96="2",H96,0)</f>
        <v>0</v>
      </c>
      <c r="W96" s="61">
        <f>IF(AG96="2",I96,0)</f>
        <v>0</v>
      </c>
      <c r="X96" s="61">
        <f>IF(AG96="0",J96,0)</f>
        <v>0</v>
      </c>
      <c r="Y96" s="50"/>
      <c r="Z96" s="34">
        <f>IF(AD96=0,J96,0)</f>
        <v>0</v>
      </c>
      <c r="AA96" s="34">
        <f>IF(AD96=15,J96,0)</f>
        <v>0</v>
      </c>
      <c r="AB96" s="34">
        <f>IF(AD96=21,J96,0)</f>
        <v>0</v>
      </c>
      <c r="AD96" s="61">
        <v>21</v>
      </c>
      <c r="AE96" s="61">
        <f>G96*0.76267199344905</f>
        <v>0</v>
      </c>
      <c r="AF96" s="61">
        <f>G96*(1-0.76267199344905)</f>
        <v>0</v>
      </c>
      <c r="AG96" s="56" t="s">
        <v>13</v>
      </c>
      <c r="AM96" s="61">
        <f>F96*AE96</f>
        <v>0</v>
      </c>
      <c r="AN96" s="61">
        <f>F96*AF96</f>
        <v>0</v>
      </c>
      <c r="AO96" s="62" t="s">
        <v>471</v>
      </c>
      <c r="AP96" s="62" t="s">
        <v>488</v>
      </c>
      <c r="AQ96" s="50" t="s">
        <v>493</v>
      </c>
      <c r="AS96" s="61">
        <f>AM96+AN96</f>
        <v>0</v>
      </c>
      <c r="AT96" s="61">
        <f>G96/(100-AU96)*100</f>
        <v>0</v>
      </c>
      <c r="AU96" s="61">
        <v>0</v>
      </c>
      <c r="AV96" s="61">
        <f>L96</f>
        <v>0.5</v>
      </c>
    </row>
    <row r="97" spans="1:48" ht="12.75">
      <c r="A97" s="10" t="s">
        <v>62</v>
      </c>
      <c r="B97" s="10"/>
      <c r="C97" s="10" t="s">
        <v>185</v>
      </c>
      <c r="D97" s="10" t="s">
        <v>338</v>
      </c>
      <c r="E97" s="10" t="s">
        <v>428</v>
      </c>
      <c r="F97" s="34">
        <v>0.5</v>
      </c>
      <c r="G97" s="34">
        <v>0</v>
      </c>
      <c r="H97" s="34">
        <f>F97*AE97</f>
        <v>0</v>
      </c>
      <c r="I97" s="34">
        <f>J97-H97</f>
        <v>0</v>
      </c>
      <c r="J97" s="34">
        <f>F97*G97</f>
        <v>0</v>
      </c>
      <c r="K97" s="34">
        <v>0</v>
      </c>
      <c r="L97" s="34">
        <f>F97*K97</f>
        <v>0</v>
      </c>
      <c r="M97" s="56" t="s">
        <v>449</v>
      </c>
      <c r="P97" s="61">
        <f>IF(AG97="5",J97,0)</f>
        <v>0</v>
      </c>
      <c r="R97" s="61">
        <f>IF(AG97="1",H97,0)</f>
        <v>0</v>
      </c>
      <c r="S97" s="61">
        <f>IF(AG97="1",I97,0)</f>
        <v>0</v>
      </c>
      <c r="T97" s="61">
        <f>IF(AG97="7",H97,0)</f>
        <v>0</v>
      </c>
      <c r="U97" s="61">
        <f>IF(AG97="7",I97,0)</f>
        <v>0</v>
      </c>
      <c r="V97" s="61">
        <f>IF(AG97="2",H97,0)</f>
        <v>0</v>
      </c>
      <c r="W97" s="61">
        <f>IF(AG97="2",I97,0)</f>
        <v>0</v>
      </c>
      <c r="X97" s="61">
        <f>IF(AG97="0",J97,0)</f>
        <v>0</v>
      </c>
      <c r="Y97" s="50"/>
      <c r="Z97" s="34">
        <f>IF(AD97=0,J97,0)</f>
        <v>0</v>
      </c>
      <c r="AA97" s="34">
        <f>IF(AD97=15,J97,0)</f>
        <v>0</v>
      </c>
      <c r="AB97" s="34">
        <f>IF(AD97=21,J97,0)</f>
        <v>0</v>
      </c>
      <c r="AD97" s="61">
        <v>21</v>
      </c>
      <c r="AE97" s="61">
        <f>G97*0</f>
        <v>0</v>
      </c>
      <c r="AF97" s="61">
        <f>G97*(1-0)</f>
        <v>0</v>
      </c>
      <c r="AG97" s="56" t="s">
        <v>11</v>
      </c>
      <c r="AM97" s="61">
        <f>F97*AE97</f>
        <v>0</v>
      </c>
      <c r="AN97" s="61">
        <f>F97*AF97</f>
        <v>0</v>
      </c>
      <c r="AO97" s="62" t="s">
        <v>471</v>
      </c>
      <c r="AP97" s="62" t="s">
        <v>488</v>
      </c>
      <c r="AQ97" s="50" t="s">
        <v>493</v>
      </c>
      <c r="AS97" s="61">
        <f>AM97+AN97</f>
        <v>0</v>
      </c>
      <c r="AT97" s="61">
        <f>G97/(100-AU97)*100</f>
        <v>0</v>
      </c>
      <c r="AU97" s="61">
        <v>0</v>
      </c>
      <c r="AV97" s="61">
        <f>L97</f>
        <v>0</v>
      </c>
    </row>
    <row r="98" spans="1:37" ht="12.75">
      <c r="A98" s="11"/>
      <c r="B98" s="24"/>
      <c r="C98" s="24" t="s">
        <v>186</v>
      </c>
      <c r="D98" s="24" t="s">
        <v>339</v>
      </c>
      <c r="E98" s="32"/>
      <c r="F98" s="32"/>
      <c r="G98" s="32"/>
      <c r="H98" s="64">
        <f>SUM(H99:H101)</f>
        <v>0</v>
      </c>
      <c r="I98" s="64">
        <f>SUM(I99:I101)</f>
        <v>0</v>
      </c>
      <c r="J98" s="64">
        <f>H98+I98</f>
        <v>0</v>
      </c>
      <c r="K98" s="50"/>
      <c r="L98" s="64">
        <f>SUM(L99:L101)</f>
        <v>0.0215733</v>
      </c>
      <c r="M98" s="50"/>
      <c r="Y98" s="50"/>
      <c r="AI98" s="64">
        <f>SUM(Z99:Z101)</f>
        <v>0</v>
      </c>
      <c r="AJ98" s="64">
        <f>SUM(AA99:AA101)</f>
        <v>0</v>
      </c>
      <c r="AK98" s="64">
        <f>SUM(AB99:AB101)</f>
        <v>0</v>
      </c>
    </row>
    <row r="99" spans="1:48" ht="12.75">
      <c r="A99" s="10" t="s">
        <v>63</v>
      </c>
      <c r="B99" s="10"/>
      <c r="C99" s="10" t="s">
        <v>187</v>
      </c>
      <c r="D99" s="10" t="s">
        <v>340</v>
      </c>
      <c r="E99" s="10" t="s">
        <v>426</v>
      </c>
      <c r="F99" s="34">
        <v>6.75</v>
      </c>
      <c r="G99" s="34">
        <v>0</v>
      </c>
      <c r="H99" s="34">
        <f>F99*AE99</f>
        <v>0</v>
      </c>
      <c r="I99" s="34">
        <f>J99-H99</f>
        <v>0</v>
      </c>
      <c r="J99" s="34">
        <f>F99*G99</f>
        <v>0</v>
      </c>
      <c r="K99" s="34">
        <v>0.00093</v>
      </c>
      <c r="L99" s="34">
        <f>F99*K99</f>
        <v>0.0062775</v>
      </c>
      <c r="M99" s="56" t="s">
        <v>449</v>
      </c>
      <c r="P99" s="61">
        <f>IF(AG99="5",J99,0)</f>
        <v>0</v>
      </c>
      <c r="R99" s="61">
        <f>IF(AG99="1",H99,0)</f>
        <v>0</v>
      </c>
      <c r="S99" s="61">
        <f>IF(AG99="1",I99,0)</f>
        <v>0</v>
      </c>
      <c r="T99" s="61">
        <f>IF(AG99="7",H99,0)</f>
        <v>0</v>
      </c>
      <c r="U99" s="61">
        <f>IF(AG99="7",I99,0)</f>
        <v>0</v>
      </c>
      <c r="V99" s="61">
        <f>IF(AG99="2",H99,0)</f>
        <v>0</v>
      </c>
      <c r="W99" s="61">
        <f>IF(AG99="2",I99,0)</f>
        <v>0</v>
      </c>
      <c r="X99" s="61">
        <f>IF(AG99="0",J99,0)</f>
        <v>0</v>
      </c>
      <c r="Y99" s="50"/>
      <c r="Z99" s="34">
        <f>IF(AD99=0,J99,0)</f>
        <v>0</v>
      </c>
      <c r="AA99" s="34">
        <f>IF(AD99=15,J99,0)</f>
        <v>0</v>
      </c>
      <c r="AB99" s="34">
        <f>IF(AD99=21,J99,0)</f>
        <v>0</v>
      </c>
      <c r="AD99" s="61">
        <v>21</v>
      </c>
      <c r="AE99" s="61">
        <f>G99*0.0728645833333333</f>
        <v>0</v>
      </c>
      <c r="AF99" s="61">
        <f>G99*(1-0.0728645833333333)</f>
        <v>0</v>
      </c>
      <c r="AG99" s="56" t="s">
        <v>13</v>
      </c>
      <c r="AM99" s="61">
        <f>F99*AE99</f>
        <v>0</v>
      </c>
      <c r="AN99" s="61">
        <f>F99*AF99</f>
        <v>0</v>
      </c>
      <c r="AO99" s="62" t="s">
        <v>472</v>
      </c>
      <c r="AP99" s="62" t="s">
        <v>489</v>
      </c>
      <c r="AQ99" s="50" t="s">
        <v>493</v>
      </c>
      <c r="AS99" s="61">
        <f>AM99+AN99</f>
        <v>0</v>
      </c>
      <c r="AT99" s="61">
        <f>G99/(100-AU99)*100</f>
        <v>0</v>
      </c>
      <c r="AU99" s="61">
        <v>0</v>
      </c>
      <c r="AV99" s="61">
        <f>L99</f>
        <v>0.0062775</v>
      </c>
    </row>
    <row r="100" spans="1:48" ht="12.75">
      <c r="A100" s="12" t="s">
        <v>64</v>
      </c>
      <c r="B100" s="12"/>
      <c r="C100" s="12" t="s">
        <v>188</v>
      </c>
      <c r="D100" s="12" t="s">
        <v>341</v>
      </c>
      <c r="E100" s="12" t="s">
        <v>426</v>
      </c>
      <c r="F100" s="35">
        <v>6.89</v>
      </c>
      <c r="G100" s="35">
        <v>0</v>
      </c>
      <c r="H100" s="35">
        <f>F100*AE100</f>
        <v>0</v>
      </c>
      <c r="I100" s="35">
        <f>J100-H100</f>
        <v>0</v>
      </c>
      <c r="J100" s="35">
        <f>F100*G100</f>
        <v>0</v>
      </c>
      <c r="K100" s="35">
        <v>0.00222</v>
      </c>
      <c r="L100" s="35">
        <f>F100*K100</f>
        <v>0.0152958</v>
      </c>
      <c r="M100" s="57" t="s">
        <v>449</v>
      </c>
      <c r="P100" s="61">
        <f>IF(AG100="5",J100,0)</f>
        <v>0</v>
      </c>
      <c r="R100" s="61">
        <f>IF(AG100="1",H100,0)</f>
        <v>0</v>
      </c>
      <c r="S100" s="61">
        <f>IF(AG100="1",I100,0)</f>
        <v>0</v>
      </c>
      <c r="T100" s="61">
        <f>IF(AG100="7",H100,0)</f>
        <v>0</v>
      </c>
      <c r="U100" s="61">
        <f>IF(AG100="7",I100,0)</f>
        <v>0</v>
      </c>
      <c r="V100" s="61">
        <f>IF(AG100="2",H100,0)</f>
        <v>0</v>
      </c>
      <c r="W100" s="61">
        <f>IF(AG100="2",I100,0)</f>
        <v>0</v>
      </c>
      <c r="X100" s="61">
        <f>IF(AG100="0",J100,0)</f>
        <v>0</v>
      </c>
      <c r="Y100" s="50"/>
      <c r="Z100" s="35">
        <f>IF(AD100=0,J100,0)</f>
        <v>0</v>
      </c>
      <c r="AA100" s="35">
        <f>IF(AD100=15,J100,0)</f>
        <v>0</v>
      </c>
      <c r="AB100" s="35">
        <f>IF(AD100=21,J100,0)</f>
        <v>0</v>
      </c>
      <c r="AD100" s="61">
        <v>21</v>
      </c>
      <c r="AE100" s="61">
        <f>G100*1</f>
        <v>0</v>
      </c>
      <c r="AF100" s="61">
        <f>G100*(1-1)</f>
        <v>0</v>
      </c>
      <c r="AG100" s="57" t="s">
        <v>13</v>
      </c>
      <c r="AM100" s="61">
        <f>F100*AE100</f>
        <v>0</v>
      </c>
      <c r="AN100" s="61">
        <f>F100*AF100</f>
        <v>0</v>
      </c>
      <c r="AO100" s="62" t="s">
        <v>472</v>
      </c>
      <c r="AP100" s="62" t="s">
        <v>489</v>
      </c>
      <c r="AQ100" s="50" t="s">
        <v>493</v>
      </c>
      <c r="AS100" s="61">
        <f>AM100+AN100</f>
        <v>0</v>
      </c>
      <c r="AT100" s="61">
        <f>G100/(100-AU100)*100</f>
        <v>0</v>
      </c>
      <c r="AU100" s="61">
        <v>0</v>
      </c>
      <c r="AV100" s="61">
        <f>L100</f>
        <v>0.0152958</v>
      </c>
    </row>
    <row r="101" spans="1:48" ht="12.75">
      <c r="A101" s="10" t="s">
        <v>65</v>
      </c>
      <c r="B101" s="10"/>
      <c r="C101" s="10" t="s">
        <v>189</v>
      </c>
      <c r="D101" s="10" t="s">
        <v>342</v>
      </c>
      <c r="E101" s="10" t="s">
        <v>428</v>
      </c>
      <c r="F101" s="34">
        <v>0.02157</v>
      </c>
      <c r="G101" s="34">
        <v>0</v>
      </c>
      <c r="H101" s="34">
        <f>F101*AE101</f>
        <v>0</v>
      </c>
      <c r="I101" s="34">
        <f>J101-H101</f>
        <v>0</v>
      </c>
      <c r="J101" s="34">
        <f>F101*G101</f>
        <v>0</v>
      </c>
      <c r="K101" s="34">
        <v>0</v>
      </c>
      <c r="L101" s="34">
        <f>F101*K101</f>
        <v>0</v>
      </c>
      <c r="M101" s="56" t="s">
        <v>449</v>
      </c>
      <c r="P101" s="61">
        <f>IF(AG101="5",J101,0)</f>
        <v>0</v>
      </c>
      <c r="R101" s="61">
        <f>IF(AG101="1",H101,0)</f>
        <v>0</v>
      </c>
      <c r="S101" s="61">
        <f>IF(AG101="1",I101,0)</f>
        <v>0</v>
      </c>
      <c r="T101" s="61">
        <f>IF(AG101="7",H101,0)</f>
        <v>0</v>
      </c>
      <c r="U101" s="61">
        <f>IF(AG101="7",I101,0)</f>
        <v>0</v>
      </c>
      <c r="V101" s="61">
        <f>IF(AG101="2",H101,0)</f>
        <v>0</v>
      </c>
      <c r="W101" s="61">
        <f>IF(AG101="2",I101,0)</f>
        <v>0</v>
      </c>
      <c r="X101" s="61">
        <f>IF(AG101="0",J101,0)</f>
        <v>0</v>
      </c>
      <c r="Y101" s="50"/>
      <c r="Z101" s="34">
        <f>IF(AD101=0,J101,0)</f>
        <v>0</v>
      </c>
      <c r="AA101" s="34">
        <f>IF(AD101=15,J101,0)</f>
        <v>0</v>
      </c>
      <c r="AB101" s="34">
        <f>IF(AD101=21,J101,0)</f>
        <v>0</v>
      </c>
      <c r="AD101" s="61">
        <v>21</v>
      </c>
      <c r="AE101" s="61">
        <f>G101*0</f>
        <v>0</v>
      </c>
      <c r="AF101" s="61">
        <f>G101*(1-0)</f>
        <v>0</v>
      </c>
      <c r="AG101" s="56" t="s">
        <v>11</v>
      </c>
      <c r="AM101" s="61">
        <f>F101*AE101</f>
        <v>0</v>
      </c>
      <c r="AN101" s="61">
        <f>F101*AF101</f>
        <v>0</v>
      </c>
      <c r="AO101" s="62" t="s">
        <v>472</v>
      </c>
      <c r="AP101" s="62" t="s">
        <v>489</v>
      </c>
      <c r="AQ101" s="50" t="s">
        <v>493</v>
      </c>
      <c r="AS101" s="61">
        <f>AM101+AN101</f>
        <v>0</v>
      </c>
      <c r="AT101" s="61">
        <f>G101/(100-AU101)*100</f>
        <v>0</v>
      </c>
      <c r="AU101" s="61">
        <v>0</v>
      </c>
      <c r="AV101" s="61">
        <f>L101</f>
        <v>0</v>
      </c>
    </row>
    <row r="102" spans="1:37" ht="12.75">
      <c r="A102" s="11"/>
      <c r="B102" s="24"/>
      <c r="C102" s="24" t="s">
        <v>190</v>
      </c>
      <c r="D102" s="24" t="s">
        <v>343</v>
      </c>
      <c r="E102" s="32"/>
      <c r="F102" s="32"/>
      <c r="G102" s="32"/>
      <c r="H102" s="64">
        <f>SUM(H103:H113)</f>
        <v>0</v>
      </c>
      <c r="I102" s="64">
        <f>SUM(I103:I113)</f>
        <v>0</v>
      </c>
      <c r="J102" s="64">
        <f>H102+I102</f>
        <v>0</v>
      </c>
      <c r="K102" s="50"/>
      <c r="L102" s="64">
        <f>SUM(L103:L113)</f>
        <v>2.62566</v>
      </c>
      <c r="M102" s="50"/>
      <c r="Y102" s="50"/>
      <c r="AI102" s="64">
        <f>SUM(Z103:Z113)</f>
        <v>0</v>
      </c>
      <c r="AJ102" s="64">
        <f>SUM(AA103:AA113)</f>
        <v>0</v>
      </c>
      <c r="AK102" s="64">
        <f>SUM(AB103:AB113)</f>
        <v>0</v>
      </c>
    </row>
    <row r="103" spans="1:48" ht="12.75">
      <c r="A103" s="10" t="s">
        <v>66</v>
      </c>
      <c r="B103" s="10"/>
      <c r="C103" s="10" t="s">
        <v>191</v>
      </c>
      <c r="D103" s="10" t="s">
        <v>344</v>
      </c>
      <c r="E103" s="10" t="s">
        <v>430</v>
      </c>
      <c r="F103" s="34">
        <v>10</v>
      </c>
      <c r="G103" s="34">
        <v>0</v>
      </c>
      <c r="H103" s="34">
        <f>F103*AE103</f>
        <v>0</v>
      </c>
      <c r="I103" s="34">
        <f>J103-H103</f>
        <v>0</v>
      </c>
      <c r="J103" s="34">
        <f>F103*G103</f>
        <v>0</v>
      </c>
      <c r="K103" s="34">
        <v>0.166</v>
      </c>
      <c r="L103" s="34">
        <f>F103*K103</f>
        <v>1.6600000000000001</v>
      </c>
      <c r="M103" s="56" t="s">
        <v>449</v>
      </c>
      <c r="P103" s="61">
        <f>IF(AG103="5",J103,0)</f>
        <v>0</v>
      </c>
      <c r="R103" s="61">
        <f>IF(AG103="1",H103,0)</f>
        <v>0</v>
      </c>
      <c r="S103" s="61">
        <f>IF(AG103="1",I103,0)</f>
        <v>0</v>
      </c>
      <c r="T103" s="61">
        <f>IF(AG103="7",H103,0)</f>
        <v>0</v>
      </c>
      <c r="U103" s="61">
        <f>IF(AG103="7",I103,0)</f>
        <v>0</v>
      </c>
      <c r="V103" s="61">
        <f>IF(AG103="2",H103,0)</f>
        <v>0</v>
      </c>
      <c r="W103" s="61">
        <f>IF(AG103="2",I103,0)</f>
        <v>0</v>
      </c>
      <c r="X103" s="61">
        <f>IF(AG103="0",J103,0)</f>
        <v>0</v>
      </c>
      <c r="Y103" s="50"/>
      <c r="Z103" s="34">
        <f>IF(AD103=0,J103,0)</f>
        <v>0</v>
      </c>
      <c r="AA103" s="34">
        <f>IF(AD103=15,J103,0)</f>
        <v>0</v>
      </c>
      <c r="AB103" s="34">
        <f>IF(AD103=21,J103,0)</f>
        <v>0</v>
      </c>
      <c r="AD103" s="61">
        <v>21</v>
      </c>
      <c r="AE103" s="61">
        <f>G103*0</f>
        <v>0</v>
      </c>
      <c r="AF103" s="61">
        <f>G103*(1-0)</f>
        <v>0</v>
      </c>
      <c r="AG103" s="56" t="s">
        <v>13</v>
      </c>
      <c r="AM103" s="61">
        <f>F103*AE103</f>
        <v>0</v>
      </c>
      <c r="AN103" s="61">
        <f>F103*AF103</f>
        <v>0</v>
      </c>
      <c r="AO103" s="62" t="s">
        <v>473</v>
      </c>
      <c r="AP103" s="62" t="s">
        <v>489</v>
      </c>
      <c r="AQ103" s="50" t="s">
        <v>493</v>
      </c>
      <c r="AS103" s="61">
        <f>AM103+AN103</f>
        <v>0</v>
      </c>
      <c r="AT103" s="61">
        <f>G103/(100-AU103)*100</f>
        <v>0</v>
      </c>
      <c r="AU103" s="61">
        <v>0</v>
      </c>
      <c r="AV103" s="61">
        <f>L103</f>
        <v>1.6600000000000001</v>
      </c>
    </row>
    <row r="104" spans="1:48" ht="12.75">
      <c r="A104" s="10" t="s">
        <v>67</v>
      </c>
      <c r="B104" s="10"/>
      <c r="C104" s="10" t="s">
        <v>192</v>
      </c>
      <c r="D104" s="10" t="s">
        <v>345</v>
      </c>
      <c r="E104" s="10" t="s">
        <v>430</v>
      </c>
      <c r="F104" s="34">
        <v>6</v>
      </c>
      <c r="G104" s="34">
        <v>0</v>
      </c>
      <c r="H104" s="34">
        <f>F104*AE104</f>
        <v>0</v>
      </c>
      <c r="I104" s="34">
        <f>J104-H104</f>
        <v>0</v>
      </c>
      <c r="J104" s="34">
        <f>F104*G104</f>
        <v>0</v>
      </c>
      <c r="K104" s="34">
        <v>0</v>
      </c>
      <c r="L104" s="34">
        <f>F104*K104</f>
        <v>0</v>
      </c>
      <c r="M104" s="56" t="s">
        <v>449</v>
      </c>
      <c r="P104" s="61">
        <f>IF(AG104="5",J104,0)</f>
        <v>0</v>
      </c>
      <c r="R104" s="61">
        <f>IF(AG104="1",H104,0)</f>
        <v>0</v>
      </c>
      <c r="S104" s="61">
        <f>IF(AG104="1",I104,0)</f>
        <v>0</v>
      </c>
      <c r="T104" s="61">
        <f>IF(AG104="7",H104,0)</f>
        <v>0</v>
      </c>
      <c r="U104" s="61">
        <f>IF(AG104="7",I104,0)</f>
        <v>0</v>
      </c>
      <c r="V104" s="61">
        <f>IF(AG104="2",H104,0)</f>
        <v>0</v>
      </c>
      <c r="W104" s="61">
        <f>IF(AG104="2",I104,0)</f>
        <v>0</v>
      </c>
      <c r="X104" s="61">
        <f>IF(AG104="0",J104,0)</f>
        <v>0</v>
      </c>
      <c r="Y104" s="50"/>
      <c r="Z104" s="34">
        <f>IF(AD104=0,J104,0)</f>
        <v>0</v>
      </c>
      <c r="AA104" s="34">
        <f>IF(AD104=15,J104,0)</f>
        <v>0</v>
      </c>
      <c r="AB104" s="34">
        <f>IF(AD104=21,J104,0)</f>
        <v>0</v>
      </c>
      <c r="AD104" s="61">
        <v>21</v>
      </c>
      <c r="AE104" s="61">
        <f>G104*0</f>
        <v>0</v>
      </c>
      <c r="AF104" s="61">
        <f>G104*(1-0)</f>
        <v>0</v>
      </c>
      <c r="AG104" s="56" t="s">
        <v>13</v>
      </c>
      <c r="AM104" s="61">
        <f>F104*AE104</f>
        <v>0</v>
      </c>
      <c r="AN104" s="61">
        <f>F104*AF104</f>
        <v>0</v>
      </c>
      <c r="AO104" s="62" t="s">
        <v>473</v>
      </c>
      <c r="AP104" s="62" t="s">
        <v>489</v>
      </c>
      <c r="AQ104" s="50" t="s">
        <v>493</v>
      </c>
      <c r="AS104" s="61">
        <f>AM104+AN104</f>
        <v>0</v>
      </c>
      <c r="AT104" s="61">
        <f>G104/(100-AU104)*100</f>
        <v>0</v>
      </c>
      <c r="AU104" s="61">
        <v>0</v>
      </c>
      <c r="AV104" s="61">
        <f>L104</f>
        <v>0</v>
      </c>
    </row>
    <row r="105" spans="1:48" ht="12.75">
      <c r="A105" s="12" t="s">
        <v>68</v>
      </c>
      <c r="B105" s="12"/>
      <c r="C105" s="12" t="s">
        <v>193</v>
      </c>
      <c r="D105" s="12" t="s">
        <v>346</v>
      </c>
      <c r="E105" s="12" t="s">
        <v>432</v>
      </c>
      <c r="F105" s="35">
        <v>1</v>
      </c>
      <c r="G105" s="35">
        <v>0</v>
      </c>
      <c r="H105" s="35">
        <f>F105*AE105</f>
        <v>0</v>
      </c>
      <c r="I105" s="35">
        <f>J105-H105</f>
        <v>0</v>
      </c>
      <c r="J105" s="35">
        <f>F105*G105</f>
        <v>0</v>
      </c>
      <c r="K105" s="35">
        <v>0.184</v>
      </c>
      <c r="L105" s="35">
        <f>F105*K105</f>
        <v>0.184</v>
      </c>
      <c r="M105" s="57" t="s">
        <v>449</v>
      </c>
      <c r="P105" s="61">
        <f>IF(AG105="5",J105,0)</f>
        <v>0</v>
      </c>
      <c r="R105" s="61">
        <f>IF(AG105="1",H105,0)</f>
        <v>0</v>
      </c>
      <c r="S105" s="61">
        <f>IF(AG105="1",I105,0)</f>
        <v>0</v>
      </c>
      <c r="T105" s="61">
        <f>IF(AG105="7",H105,0)</f>
        <v>0</v>
      </c>
      <c r="U105" s="61">
        <f>IF(AG105="7",I105,0)</f>
        <v>0</v>
      </c>
      <c r="V105" s="61">
        <f>IF(AG105="2",H105,0)</f>
        <v>0</v>
      </c>
      <c r="W105" s="61">
        <f>IF(AG105="2",I105,0)</f>
        <v>0</v>
      </c>
      <c r="X105" s="61">
        <f>IF(AG105="0",J105,0)</f>
        <v>0</v>
      </c>
      <c r="Y105" s="50"/>
      <c r="Z105" s="35">
        <f>IF(AD105=0,J105,0)</f>
        <v>0</v>
      </c>
      <c r="AA105" s="35">
        <f>IF(AD105=15,J105,0)</f>
        <v>0</v>
      </c>
      <c r="AB105" s="35">
        <f>IF(AD105=21,J105,0)</f>
        <v>0</v>
      </c>
      <c r="AD105" s="61">
        <v>21</v>
      </c>
      <c r="AE105" s="61">
        <f>G105*1</f>
        <v>0</v>
      </c>
      <c r="AF105" s="61">
        <f>G105*(1-1)</f>
        <v>0</v>
      </c>
      <c r="AG105" s="57" t="s">
        <v>13</v>
      </c>
      <c r="AM105" s="61">
        <f>F105*AE105</f>
        <v>0</v>
      </c>
      <c r="AN105" s="61">
        <f>F105*AF105</f>
        <v>0</v>
      </c>
      <c r="AO105" s="62" t="s">
        <v>473</v>
      </c>
      <c r="AP105" s="62" t="s">
        <v>489</v>
      </c>
      <c r="AQ105" s="50" t="s">
        <v>493</v>
      </c>
      <c r="AS105" s="61">
        <f>AM105+AN105</f>
        <v>0</v>
      </c>
      <c r="AT105" s="61">
        <f>G105/(100-AU105)*100</f>
        <v>0</v>
      </c>
      <c r="AU105" s="61">
        <v>0</v>
      </c>
      <c r="AV105" s="61">
        <f>L105</f>
        <v>0.184</v>
      </c>
    </row>
    <row r="106" spans="1:48" ht="12.75">
      <c r="A106" s="12" t="s">
        <v>69</v>
      </c>
      <c r="B106" s="12"/>
      <c r="C106" s="12" t="s">
        <v>194</v>
      </c>
      <c r="D106" s="12" t="s">
        <v>347</v>
      </c>
      <c r="E106" s="12" t="s">
        <v>432</v>
      </c>
      <c r="F106" s="35">
        <v>2</v>
      </c>
      <c r="G106" s="35">
        <v>0</v>
      </c>
      <c r="H106" s="35">
        <f>F106*AE106</f>
        <v>0</v>
      </c>
      <c r="I106" s="35">
        <f>J106-H106</f>
        <v>0</v>
      </c>
      <c r="J106" s="35">
        <f>F106*G106</f>
        <v>0</v>
      </c>
      <c r="K106" s="35">
        <v>0.161</v>
      </c>
      <c r="L106" s="35">
        <f>F106*K106</f>
        <v>0.322</v>
      </c>
      <c r="M106" s="57" t="s">
        <v>449</v>
      </c>
      <c r="P106" s="61">
        <f>IF(AG106="5",J106,0)</f>
        <v>0</v>
      </c>
      <c r="R106" s="61">
        <f>IF(AG106="1",H106,0)</f>
        <v>0</v>
      </c>
      <c r="S106" s="61">
        <f>IF(AG106="1",I106,0)</f>
        <v>0</v>
      </c>
      <c r="T106" s="61">
        <f>IF(AG106="7",H106,0)</f>
        <v>0</v>
      </c>
      <c r="U106" s="61">
        <f>IF(AG106="7",I106,0)</f>
        <v>0</v>
      </c>
      <c r="V106" s="61">
        <f>IF(AG106="2",H106,0)</f>
        <v>0</v>
      </c>
      <c r="W106" s="61">
        <f>IF(AG106="2",I106,0)</f>
        <v>0</v>
      </c>
      <c r="X106" s="61">
        <f>IF(AG106="0",J106,0)</f>
        <v>0</v>
      </c>
      <c r="Y106" s="50"/>
      <c r="Z106" s="35">
        <f>IF(AD106=0,J106,0)</f>
        <v>0</v>
      </c>
      <c r="AA106" s="35">
        <f>IF(AD106=15,J106,0)</f>
        <v>0</v>
      </c>
      <c r="AB106" s="35">
        <f>IF(AD106=21,J106,0)</f>
        <v>0</v>
      </c>
      <c r="AD106" s="61">
        <v>21</v>
      </c>
      <c r="AE106" s="61">
        <f>G106*1</f>
        <v>0</v>
      </c>
      <c r="AF106" s="61">
        <f>G106*(1-1)</f>
        <v>0</v>
      </c>
      <c r="AG106" s="57" t="s">
        <v>13</v>
      </c>
      <c r="AM106" s="61">
        <f>F106*AE106</f>
        <v>0</v>
      </c>
      <c r="AN106" s="61">
        <f>F106*AF106</f>
        <v>0</v>
      </c>
      <c r="AO106" s="62" t="s">
        <v>473</v>
      </c>
      <c r="AP106" s="62" t="s">
        <v>489</v>
      </c>
      <c r="AQ106" s="50" t="s">
        <v>493</v>
      </c>
      <c r="AS106" s="61">
        <f>AM106+AN106</f>
        <v>0</v>
      </c>
      <c r="AT106" s="61">
        <f>G106/(100-AU106)*100</f>
        <v>0</v>
      </c>
      <c r="AU106" s="61">
        <v>0</v>
      </c>
      <c r="AV106" s="61">
        <f>L106</f>
        <v>0.322</v>
      </c>
    </row>
    <row r="107" spans="1:48" ht="12.75">
      <c r="A107" s="12" t="s">
        <v>70</v>
      </c>
      <c r="B107" s="12"/>
      <c r="C107" s="12" t="s">
        <v>195</v>
      </c>
      <c r="D107" s="12" t="s">
        <v>348</v>
      </c>
      <c r="E107" s="12" t="s">
        <v>432</v>
      </c>
      <c r="F107" s="35">
        <v>3</v>
      </c>
      <c r="G107" s="35">
        <v>0</v>
      </c>
      <c r="H107" s="35">
        <f>F107*AE107</f>
        <v>0</v>
      </c>
      <c r="I107" s="35">
        <f>J107-H107</f>
        <v>0</v>
      </c>
      <c r="J107" s="35">
        <f>F107*G107</f>
        <v>0</v>
      </c>
      <c r="K107" s="35">
        <v>0.122</v>
      </c>
      <c r="L107" s="35">
        <f>F107*K107</f>
        <v>0.366</v>
      </c>
      <c r="M107" s="57" t="s">
        <v>449</v>
      </c>
      <c r="P107" s="61">
        <f>IF(AG107="5",J107,0)</f>
        <v>0</v>
      </c>
      <c r="R107" s="61">
        <f>IF(AG107="1",H107,0)</f>
        <v>0</v>
      </c>
      <c r="S107" s="61">
        <f>IF(AG107="1",I107,0)</f>
        <v>0</v>
      </c>
      <c r="T107" s="61">
        <f>IF(AG107="7",H107,0)</f>
        <v>0</v>
      </c>
      <c r="U107" s="61">
        <f>IF(AG107="7",I107,0)</f>
        <v>0</v>
      </c>
      <c r="V107" s="61">
        <f>IF(AG107="2",H107,0)</f>
        <v>0</v>
      </c>
      <c r="W107" s="61">
        <f>IF(AG107="2",I107,0)</f>
        <v>0</v>
      </c>
      <c r="X107" s="61">
        <f>IF(AG107="0",J107,0)</f>
        <v>0</v>
      </c>
      <c r="Y107" s="50"/>
      <c r="Z107" s="35">
        <f>IF(AD107=0,J107,0)</f>
        <v>0</v>
      </c>
      <c r="AA107" s="35">
        <f>IF(AD107=15,J107,0)</f>
        <v>0</v>
      </c>
      <c r="AB107" s="35">
        <f>IF(AD107=21,J107,0)</f>
        <v>0</v>
      </c>
      <c r="AD107" s="61">
        <v>21</v>
      </c>
      <c r="AE107" s="61">
        <f>G107*1</f>
        <v>0</v>
      </c>
      <c r="AF107" s="61">
        <f>G107*(1-1)</f>
        <v>0</v>
      </c>
      <c r="AG107" s="57" t="s">
        <v>13</v>
      </c>
      <c r="AM107" s="61">
        <f>F107*AE107</f>
        <v>0</v>
      </c>
      <c r="AN107" s="61">
        <f>F107*AF107</f>
        <v>0</v>
      </c>
      <c r="AO107" s="62" t="s">
        <v>473</v>
      </c>
      <c r="AP107" s="62" t="s">
        <v>489</v>
      </c>
      <c r="AQ107" s="50" t="s">
        <v>493</v>
      </c>
      <c r="AS107" s="61">
        <f>AM107+AN107</f>
        <v>0</v>
      </c>
      <c r="AT107" s="61">
        <f>G107/(100-AU107)*100</f>
        <v>0</v>
      </c>
      <c r="AU107" s="61">
        <v>0</v>
      </c>
      <c r="AV107" s="61">
        <f>L107</f>
        <v>0.366</v>
      </c>
    </row>
    <row r="108" spans="1:48" ht="12.75">
      <c r="A108" s="10" t="s">
        <v>71</v>
      </c>
      <c r="B108" s="10"/>
      <c r="C108" s="10" t="s">
        <v>196</v>
      </c>
      <c r="D108" s="10" t="s">
        <v>349</v>
      </c>
      <c r="E108" s="10" t="s">
        <v>429</v>
      </c>
      <c r="F108" s="34">
        <v>5.4</v>
      </c>
      <c r="G108" s="34">
        <v>0</v>
      </c>
      <c r="H108" s="34">
        <f>F108*AE108</f>
        <v>0</v>
      </c>
      <c r="I108" s="34">
        <f>J108-H108</f>
        <v>0</v>
      </c>
      <c r="J108" s="34">
        <f>F108*G108</f>
        <v>0</v>
      </c>
      <c r="K108" s="34">
        <v>0.00017</v>
      </c>
      <c r="L108" s="34">
        <f>F108*K108</f>
        <v>0.0009180000000000001</v>
      </c>
      <c r="M108" s="56" t="s">
        <v>450</v>
      </c>
      <c r="P108" s="61">
        <f>IF(AG108="5",J108,0)</f>
        <v>0</v>
      </c>
      <c r="R108" s="61">
        <f>IF(AG108="1",H108,0)</f>
        <v>0</v>
      </c>
      <c r="S108" s="61">
        <f>IF(AG108="1",I108,0)</f>
        <v>0</v>
      </c>
      <c r="T108" s="61">
        <f>IF(AG108="7",H108,0)</f>
        <v>0</v>
      </c>
      <c r="U108" s="61">
        <f>IF(AG108="7",I108,0)</f>
        <v>0</v>
      </c>
      <c r="V108" s="61">
        <f>IF(AG108="2",H108,0)</f>
        <v>0</v>
      </c>
      <c r="W108" s="61">
        <f>IF(AG108="2",I108,0)</f>
        <v>0</v>
      </c>
      <c r="X108" s="61">
        <f>IF(AG108="0",J108,0)</f>
        <v>0</v>
      </c>
      <c r="Y108" s="50"/>
      <c r="Z108" s="34">
        <f>IF(AD108=0,J108,0)</f>
        <v>0</v>
      </c>
      <c r="AA108" s="34">
        <f>IF(AD108=15,J108,0)</f>
        <v>0</v>
      </c>
      <c r="AB108" s="34">
        <f>IF(AD108=21,J108,0)</f>
        <v>0</v>
      </c>
      <c r="AD108" s="61">
        <v>21</v>
      </c>
      <c r="AE108" s="61">
        <f>G108*0.0156855575868373</f>
        <v>0</v>
      </c>
      <c r="AF108" s="61">
        <f>G108*(1-0.0156855575868373)</f>
        <v>0</v>
      </c>
      <c r="AG108" s="56" t="s">
        <v>13</v>
      </c>
      <c r="AM108" s="61">
        <f>F108*AE108</f>
        <v>0</v>
      </c>
      <c r="AN108" s="61">
        <f>F108*AF108</f>
        <v>0</v>
      </c>
      <c r="AO108" s="62" t="s">
        <v>473</v>
      </c>
      <c r="AP108" s="62" t="s">
        <v>489</v>
      </c>
      <c r="AQ108" s="50" t="s">
        <v>493</v>
      </c>
      <c r="AS108" s="61">
        <f>AM108+AN108</f>
        <v>0</v>
      </c>
      <c r="AT108" s="61">
        <f>G108/(100-AU108)*100</f>
        <v>0</v>
      </c>
      <c r="AU108" s="61">
        <v>0</v>
      </c>
      <c r="AV108" s="61">
        <f>L108</f>
        <v>0.0009180000000000001</v>
      </c>
    </row>
    <row r="109" ht="12.75">
      <c r="D109" s="28" t="s">
        <v>350</v>
      </c>
    </row>
    <row r="110" spans="1:48" ht="12.75">
      <c r="A110" s="10" t="s">
        <v>72</v>
      </c>
      <c r="B110" s="10"/>
      <c r="C110" s="10" t="s">
        <v>197</v>
      </c>
      <c r="D110" s="10" t="s">
        <v>351</v>
      </c>
      <c r="E110" s="10" t="s">
        <v>429</v>
      </c>
      <c r="F110" s="34">
        <v>8.4</v>
      </c>
      <c r="G110" s="34">
        <v>0</v>
      </c>
      <c r="H110" s="34">
        <f>F110*AE110</f>
        <v>0</v>
      </c>
      <c r="I110" s="34">
        <f>J110-H110</f>
        <v>0</v>
      </c>
      <c r="J110" s="34">
        <f>F110*G110</f>
        <v>0</v>
      </c>
      <c r="K110" s="34">
        <v>0.01098</v>
      </c>
      <c r="L110" s="34">
        <f>F110*K110</f>
        <v>0.09223200000000001</v>
      </c>
      <c r="M110" s="56" t="s">
        <v>450</v>
      </c>
      <c r="P110" s="61">
        <f>IF(AG110="5",J110,0)</f>
        <v>0</v>
      </c>
      <c r="R110" s="61">
        <f>IF(AG110="1",H110,0)</f>
        <v>0</v>
      </c>
      <c r="S110" s="61">
        <f>IF(AG110="1",I110,0)</f>
        <v>0</v>
      </c>
      <c r="T110" s="61">
        <f>IF(AG110="7",H110,0)</f>
        <v>0</v>
      </c>
      <c r="U110" s="61">
        <f>IF(AG110="7",I110,0)</f>
        <v>0</v>
      </c>
      <c r="V110" s="61">
        <f>IF(AG110="2",H110,0)</f>
        <v>0</v>
      </c>
      <c r="W110" s="61">
        <f>IF(AG110="2",I110,0)</f>
        <v>0</v>
      </c>
      <c r="X110" s="61">
        <f>IF(AG110="0",J110,0)</f>
        <v>0</v>
      </c>
      <c r="Y110" s="50"/>
      <c r="Z110" s="34">
        <f>IF(AD110=0,J110,0)</f>
        <v>0</v>
      </c>
      <c r="AA110" s="34">
        <f>IF(AD110=15,J110,0)</f>
        <v>0</v>
      </c>
      <c r="AB110" s="34">
        <f>IF(AD110=21,J110,0)</f>
        <v>0</v>
      </c>
      <c r="AD110" s="61">
        <v>21</v>
      </c>
      <c r="AE110" s="61">
        <f>G110*0</f>
        <v>0</v>
      </c>
      <c r="AF110" s="61">
        <f>G110*(1-0)</f>
        <v>0</v>
      </c>
      <c r="AG110" s="56" t="s">
        <v>13</v>
      </c>
      <c r="AM110" s="61">
        <f>F110*AE110</f>
        <v>0</v>
      </c>
      <c r="AN110" s="61">
        <f>F110*AF110</f>
        <v>0</v>
      </c>
      <c r="AO110" s="62" t="s">
        <v>473</v>
      </c>
      <c r="AP110" s="62" t="s">
        <v>489</v>
      </c>
      <c r="AQ110" s="50" t="s">
        <v>493</v>
      </c>
      <c r="AS110" s="61">
        <f>AM110+AN110</f>
        <v>0</v>
      </c>
      <c r="AT110" s="61">
        <f>G110/(100-AU110)*100</f>
        <v>0</v>
      </c>
      <c r="AU110" s="61">
        <v>0</v>
      </c>
      <c r="AV110" s="61">
        <f>L110</f>
        <v>0.09223200000000001</v>
      </c>
    </row>
    <row r="111" spans="1:48" ht="12.75">
      <c r="A111" s="10" t="s">
        <v>73</v>
      </c>
      <c r="B111" s="10"/>
      <c r="C111" s="10" t="s">
        <v>198</v>
      </c>
      <c r="D111" s="10" t="s">
        <v>352</v>
      </c>
      <c r="E111" s="10" t="s">
        <v>429</v>
      </c>
      <c r="F111" s="34">
        <v>3</v>
      </c>
      <c r="G111" s="34">
        <v>0</v>
      </c>
      <c r="H111" s="34">
        <f>F111*AE111</f>
        <v>0</v>
      </c>
      <c r="I111" s="34">
        <f>J111-H111</f>
        <v>0</v>
      </c>
      <c r="J111" s="34">
        <f>F111*G111</f>
        <v>0</v>
      </c>
      <c r="K111" s="34">
        <v>0.00017</v>
      </c>
      <c r="L111" s="34">
        <f>F111*K111</f>
        <v>0.00051</v>
      </c>
      <c r="M111" s="56" t="s">
        <v>450</v>
      </c>
      <c r="P111" s="61">
        <f>IF(AG111="5",J111,0)</f>
        <v>0</v>
      </c>
      <c r="R111" s="61">
        <f>IF(AG111="1",H111,0)</f>
        <v>0</v>
      </c>
      <c r="S111" s="61">
        <f>IF(AG111="1",I111,0)</f>
        <v>0</v>
      </c>
      <c r="T111" s="61">
        <f>IF(AG111="7",H111,0)</f>
        <v>0</v>
      </c>
      <c r="U111" s="61">
        <f>IF(AG111="7",I111,0)</f>
        <v>0</v>
      </c>
      <c r="V111" s="61">
        <f>IF(AG111="2",H111,0)</f>
        <v>0</v>
      </c>
      <c r="W111" s="61">
        <f>IF(AG111="2",I111,0)</f>
        <v>0</v>
      </c>
      <c r="X111" s="61">
        <f>IF(AG111="0",J111,0)</f>
        <v>0</v>
      </c>
      <c r="Y111" s="50"/>
      <c r="Z111" s="34">
        <f>IF(AD111=0,J111,0)</f>
        <v>0</v>
      </c>
      <c r="AA111" s="34">
        <f>IF(AD111=15,J111,0)</f>
        <v>0</v>
      </c>
      <c r="AB111" s="34">
        <f>IF(AD111=21,J111,0)</f>
        <v>0</v>
      </c>
      <c r="AD111" s="61">
        <v>21</v>
      </c>
      <c r="AE111" s="61">
        <f>G111*0.0129022556390977</f>
        <v>0</v>
      </c>
      <c r="AF111" s="61">
        <f>G111*(1-0.0129022556390977)</f>
        <v>0</v>
      </c>
      <c r="AG111" s="56" t="s">
        <v>13</v>
      </c>
      <c r="AM111" s="61">
        <f>F111*AE111</f>
        <v>0</v>
      </c>
      <c r="AN111" s="61">
        <f>F111*AF111</f>
        <v>0</v>
      </c>
      <c r="AO111" s="62" t="s">
        <v>473</v>
      </c>
      <c r="AP111" s="62" t="s">
        <v>489</v>
      </c>
      <c r="AQ111" s="50" t="s">
        <v>493</v>
      </c>
      <c r="AS111" s="61">
        <f>AM111+AN111</f>
        <v>0</v>
      </c>
      <c r="AT111" s="61">
        <f>G111/(100-AU111)*100</f>
        <v>0</v>
      </c>
      <c r="AU111" s="61">
        <v>0</v>
      </c>
      <c r="AV111" s="61">
        <f>L111</f>
        <v>0.00051</v>
      </c>
    </row>
    <row r="112" ht="12.75">
      <c r="D112" s="28" t="s">
        <v>350</v>
      </c>
    </row>
    <row r="113" spans="1:48" ht="12.75">
      <c r="A113" s="10" t="s">
        <v>74</v>
      </c>
      <c r="B113" s="10"/>
      <c r="C113" s="10" t="s">
        <v>199</v>
      </c>
      <c r="D113" s="10" t="s">
        <v>353</v>
      </c>
      <c r="E113" s="10" t="s">
        <v>428</v>
      </c>
      <c r="F113" s="34">
        <v>2.6257</v>
      </c>
      <c r="G113" s="34">
        <v>0</v>
      </c>
      <c r="H113" s="34">
        <f>F113*AE113</f>
        <v>0</v>
      </c>
      <c r="I113" s="34">
        <f>J113-H113</f>
        <v>0</v>
      </c>
      <c r="J113" s="34">
        <f>F113*G113</f>
        <v>0</v>
      </c>
      <c r="K113" s="34">
        <v>0</v>
      </c>
      <c r="L113" s="34">
        <f>F113*K113</f>
        <v>0</v>
      </c>
      <c r="M113" s="56" t="s">
        <v>449</v>
      </c>
      <c r="P113" s="61">
        <f>IF(AG113="5",J113,0)</f>
        <v>0</v>
      </c>
      <c r="R113" s="61">
        <f>IF(AG113="1",H113,0)</f>
        <v>0</v>
      </c>
      <c r="S113" s="61">
        <f>IF(AG113="1",I113,0)</f>
        <v>0</v>
      </c>
      <c r="T113" s="61">
        <f>IF(AG113="7",H113,0)</f>
        <v>0</v>
      </c>
      <c r="U113" s="61">
        <f>IF(AG113="7",I113,0)</f>
        <v>0</v>
      </c>
      <c r="V113" s="61">
        <f>IF(AG113="2",H113,0)</f>
        <v>0</v>
      </c>
      <c r="W113" s="61">
        <f>IF(AG113="2",I113,0)</f>
        <v>0</v>
      </c>
      <c r="X113" s="61">
        <f>IF(AG113="0",J113,0)</f>
        <v>0</v>
      </c>
      <c r="Y113" s="50"/>
      <c r="Z113" s="34">
        <f>IF(AD113=0,J113,0)</f>
        <v>0</v>
      </c>
      <c r="AA113" s="34">
        <f>IF(AD113=15,J113,0)</f>
        <v>0</v>
      </c>
      <c r="AB113" s="34">
        <f>IF(AD113=21,J113,0)</f>
        <v>0</v>
      </c>
      <c r="AD113" s="61">
        <v>21</v>
      </c>
      <c r="AE113" s="61">
        <f>G113*0</f>
        <v>0</v>
      </c>
      <c r="AF113" s="61">
        <f>G113*(1-0)</f>
        <v>0</v>
      </c>
      <c r="AG113" s="56" t="s">
        <v>11</v>
      </c>
      <c r="AM113" s="61">
        <f>F113*AE113</f>
        <v>0</v>
      </c>
      <c r="AN113" s="61">
        <f>F113*AF113</f>
        <v>0</v>
      </c>
      <c r="AO113" s="62" t="s">
        <v>473</v>
      </c>
      <c r="AP113" s="62" t="s">
        <v>489</v>
      </c>
      <c r="AQ113" s="50" t="s">
        <v>493</v>
      </c>
      <c r="AS113" s="61">
        <f>AM113+AN113</f>
        <v>0</v>
      </c>
      <c r="AT113" s="61">
        <f>G113/(100-AU113)*100</f>
        <v>0</v>
      </c>
      <c r="AU113" s="61">
        <v>0</v>
      </c>
      <c r="AV113" s="61">
        <f>L113</f>
        <v>0</v>
      </c>
    </row>
    <row r="114" spans="1:37" ht="12.75">
      <c r="A114" s="11"/>
      <c r="B114" s="24"/>
      <c r="C114" s="24" t="s">
        <v>200</v>
      </c>
      <c r="D114" s="24" t="s">
        <v>354</v>
      </c>
      <c r="E114" s="32"/>
      <c r="F114" s="32"/>
      <c r="G114" s="32"/>
      <c r="H114" s="64">
        <f>SUM(H115:H116)</f>
        <v>0</v>
      </c>
      <c r="I114" s="64">
        <f>SUM(I115:I116)</f>
        <v>0</v>
      </c>
      <c r="J114" s="64">
        <f>H114+I114</f>
        <v>0</v>
      </c>
      <c r="K114" s="50"/>
      <c r="L114" s="64">
        <f>SUM(L115:L116)</f>
        <v>0.0399</v>
      </c>
      <c r="M114" s="50"/>
      <c r="Y114" s="50"/>
      <c r="AI114" s="64">
        <f>SUM(Z115:Z116)</f>
        <v>0</v>
      </c>
      <c r="AJ114" s="64">
        <f>SUM(AA115:AA116)</f>
        <v>0</v>
      </c>
      <c r="AK114" s="64">
        <f>SUM(AB115:AB116)</f>
        <v>0</v>
      </c>
    </row>
    <row r="115" spans="1:48" ht="12.75">
      <c r="A115" s="10" t="s">
        <v>75</v>
      </c>
      <c r="B115" s="10"/>
      <c r="C115" s="10" t="s">
        <v>201</v>
      </c>
      <c r="D115" s="10" t="s">
        <v>355</v>
      </c>
      <c r="E115" s="10" t="s">
        <v>433</v>
      </c>
      <c r="F115" s="34">
        <v>38</v>
      </c>
      <c r="G115" s="34">
        <v>0</v>
      </c>
      <c r="H115" s="34">
        <f>F115*AE115</f>
        <v>0</v>
      </c>
      <c r="I115" s="34">
        <f>J115-H115</f>
        <v>0</v>
      </c>
      <c r="J115" s="34">
        <f>F115*G115</f>
        <v>0</v>
      </c>
      <c r="K115" s="34">
        <v>0.00105</v>
      </c>
      <c r="L115" s="34">
        <f>F115*K115</f>
        <v>0.0399</v>
      </c>
      <c r="M115" s="56" t="s">
        <v>450</v>
      </c>
      <c r="P115" s="61">
        <f>IF(AG115="5",J115,0)</f>
        <v>0</v>
      </c>
      <c r="R115" s="61">
        <f>IF(AG115="1",H115,0)</f>
        <v>0</v>
      </c>
      <c r="S115" s="61">
        <f>IF(AG115="1",I115,0)</f>
        <v>0</v>
      </c>
      <c r="T115" s="61">
        <f>IF(AG115="7",H115,0)</f>
        <v>0</v>
      </c>
      <c r="U115" s="61">
        <f>IF(AG115="7",I115,0)</f>
        <v>0</v>
      </c>
      <c r="V115" s="61">
        <f>IF(AG115="2",H115,0)</f>
        <v>0</v>
      </c>
      <c r="W115" s="61">
        <f>IF(AG115="2",I115,0)</f>
        <v>0</v>
      </c>
      <c r="X115" s="61">
        <f>IF(AG115="0",J115,0)</f>
        <v>0</v>
      </c>
      <c r="Y115" s="50"/>
      <c r="Z115" s="34">
        <f>IF(AD115=0,J115,0)</f>
        <v>0</v>
      </c>
      <c r="AA115" s="34">
        <f>IF(AD115=15,J115,0)</f>
        <v>0</v>
      </c>
      <c r="AB115" s="34">
        <f>IF(AD115=21,J115,0)</f>
        <v>0</v>
      </c>
      <c r="AD115" s="61">
        <v>21</v>
      </c>
      <c r="AE115" s="61">
        <f>G115*0.142778843518772</f>
        <v>0</v>
      </c>
      <c r="AF115" s="61">
        <f>G115*(1-0.142778843518772)</f>
        <v>0</v>
      </c>
      <c r="AG115" s="56" t="s">
        <v>13</v>
      </c>
      <c r="AM115" s="61">
        <f>F115*AE115</f>
        <v>0</v>
      </c>
      <c r="AN115" s="61">
        <f>F115*AF115</f>
        <v>0</v>
      </c>
      <c r="AO115" s="62" t="s">
        <v>474</v>
      </c>
      <c r="AP115" s="62" t="s">
        <v>489</v>
      </c>
      <c r="AQ115" s="50" t="s">
        <v>493</v>
      </c>
      <c r="AS115" s="61">
        <f>AM115+AN115</f>
        <v>0</v>
      </c>
      <c r="AT115" s="61">
        <f>G115/(100-AU115)*100</f>
        <v>0</v>
      </c>
      <c r="AU115" s="61">
        <v>0</v>
      </c>
      <c r="AV115" s="61">
        <f>L115</f>
        <v>0.0399</v>
      </c>
    </row>
    <row r="116" spans="1:48" ht="12.75">
      <c r="A116" s="10" t="s">
        <v>76</v>
      </c>
      <c r="B116" s="10"/>
      <c r="C116" s="10" t="s">
        <v>202</v>
      </c>
      <c r="D116" s="10" t="s">
        <v>356</v>
      </c>
      <c r="E116" s="10" t="s">
        <v>428</v>
      </c>
      <c r="F116" s="34">
        <v>0.0399</v>
      </c>
      <c r="G116" s="34">
        <v>0</v>
      </c>
      <c r="H116" s="34">
        <f>F116*AE116</f>
        <v>0</v>
      </c>
      <c r="I116" s="34">
        <f>J116-H116</f>
        <v>0</v>
      </c>
      <c r="J116" s="34">
        <f>F116*G116</f>
        <v>0</v>
      </c>
      <c r="K116" s="34">
        <v>0</v>
      </c>
      <c r="L116" s="34">
        <f>F116*K116</f>
        <v>0</v>
      </c>
      <c r="M116" s="56" t="s">
        <v>450</v>
      </c>
      <c r="P116" s="61">
        <f>IF(AG116="5",J116,0)</f>
        <v>0</v>
      </c>
      <c r="R116" s="61">
        <f>IF(AG116="1",H116,0)</f>
        <v>0</v>
      </c>
      <c r="S116" s="61">
        <f>IF(AG116="1",I116,0)</f>
        <v>0</v>
      </c>
      <c r="T116" s="61">
        <f>IF(AG116="7",H116,0)</f>
        <v>0</v>
      </c>
      <c r="U116" s="61">
        <f>IF(AG116="7",I116,0)</f>
        <v>0</v>
      </c>
      <c r="V116" s="61">
        <f>IF(AG116="2",H116,0)</f>
        <v>0</v>
      </c>
      <c r="W116" s="61">
        <f>IF(AG116="2",I116,0)</f>
        <v>0</v>
      </c>
      <c r="X116" s="61">
        <f>IF(AG116="0",J116,0)</f>
        <v>0</v>
      </c>
      <c r="Y116" s="50"/>
      <c r="Z116" s="34">
        <f>IF(AD116=0,J116,0)</f>
        <v>0</v>
      </c>
      <c r="AA116" s="34">
        <f>IF(AD116=15,J116,0)</f>
        <v>0</v>
      </c>
      <c r="AB116" s="34">
        <f>IF(AD116=21,J116,0)</f>
        <v>0</v>
      </c>
      <c r="AD116" s="61">
        <v>21</v>
      </c>
      <c r="AE116" s="61">
        <f>G116*0</f>
        <v>0</v>
      </c>
      <c r="AF116" s="61">
        <f>G116*(1-0)</f>
        <v>0</v>
      </c>
      <c r="AG116" s="56" t="s">
        <v>11</v>
      </c>
      <c r="AM116" s="61">
        <f>F116*AE116</f>
        <v>0</v>
      </c>
      <c r="AN116" s="61">
        <f>F116*AF116</f>
        <v>0</v>
      </c>
      <c r="AO116" s="62" t="s">
        <v>474</v>
      </c>
      <c r="AP116" s="62" t="s">
        <v>489</v>
      </c>
      <c r="AQ116" s="50" t="s">
        <v>493</v>
      </c>
      <c r="AS116" s="61">
        <f>AM116+AN116</f>
        <v>0</v>
      </c>
      <c r="AT116" s="61">
        <f>G116/(100-AU116)*100</f>
        <v>0</v>
      </c>
      <c r="AU116" s="61">
        <v>0</v>
      </c>
      <c r="AV116" s="61">
        <f>L116</f>
        <v>0</v>
      </c>
    </row>
    <row r="117" spans="1:37" ht="12.75">
      <c r="A117" s="11"/>
      <c r="B117" s="24"/>
      <c r="C117" s="24" t="s">
        <v>203</v>
      </c>
      <c r="D117" s="24" t="s">
        <v>357</v>
      </c>
      <c r="E117" s="32"/>
      <c r="F117" s="32"/>
      <c r="G117" s="32"/>
      <c r="H117" s="64">
        <f>SUM(H118:H125)</f>
        <v>0</v>
      </c>
      <c r="I117" s="64">
        <f>SUM(I118:I125)</f>
        <v>0</v>
      </c>
      <c r="J117" s="64">
        <f>H117+I117</f>
        <v>0</v>
      </c>
      <c r="K117" s="50"/>
      <c r="L117" s="64">
        <f>SUM(L118:L125)</f>
        <v>18.2743951</v>
      </c>
      <c r="M117" s="50"/>
      <c r="Y117" s="50"/>
      <c r="AI117" s="64">
        <f>SUM(Z118:Z125)</f>
        <v>0</v>
      </c>
      <c r="AJ117" s="64">
        <f>SUM(AA118:AA125)</f>
        <v>0</v>
      </c>
      <c r="AK117" s="64">
        <f>SUM(AB118:AB125)</f>
        <v>0</v>
      </c>
    </row>
    <row r="118" spans="1:48" ht="12.75">
      <c r="A118" s="10" t="s">
        <v>77</v>
      </c>
      <c r="B118" s="10"/>
      <c r="C118" s="10" t="s">
        <v>204</v>
      </c>
      <c r="D118" s="10" t="s">
        <v>358</v>
      </c>
      <c r="E118" s="10" t="s">
        <v>429</v>
      </c>
      <c r="F118" s="34">
        <v>166.91</v>
      </c>
      <c r="G118" s="34">
        <v>0</v>
      </c>
      <c r="H118" s="34">
        <f>F118*AE118</f>
        <v>0</v>
      </c>
      <c r="I118" s="34">
        <f>J118-H118</f>
        <v>0</v>
      </c>
      <c r="J118" s="34">
        <f>F118*G118</f>
        <v>0</v>
      </c>
      <c r="K118" s="34">
        <v>0.00011</v>
      </c>
      <c r="L118" s="34">
        <f>F118*K118</f>
        <v>0.0183601</v>
      </c>
      <c r="M118" s="56" t="s">
        <v>449</v>
      </c>
      <c r="P118" s="61">
        <f>IF(AG118="5",J118,0)</f>
        <v>0</v>
      </c>
      <c r="R118" s="61">
        <f>IF(AG118="1",H118,0)</f>
        <v>0</v>
      </c>
      <c r="S118" s="61">
        <f>IF(AG118="1",I118,0)</f>
        <v>0</v>
      </c>
      <c r="T118" s="61">
        <f>IF(AG118="7",H118,0)</f>
        <v>0</v>
      </c>
      <c r="U118" s="61">
        <f>IF(AG118="7",I118,0)</f>
        <v>0</v>
      </c>
      <c r="V118" s="61">
        <f>IF(AG118="2",H118,0)</f>
        <v>0</v>
      </c>
      <c r="W118" s="61">
        <f>IF(AG118="2",I118,0)</f>
        <v>0</v>
      </c>
      <c r="X118" s="61">
        <f>IF(AG118="0",J118,0)</f>
        <v>0</v>
      </c>
      <c r="Y118" s="50"/>
      <c r="Z118" s="34">
        <f>IF(AD118=0,J118,0)</f>
        <v>0</v>
      </c>
      <c r="AA118" s="34">
        <f>IF(AD118=15,J118,0)</f>
        <v>0</v>
      </c>
      <c r="AB118" s="34">
        <f>IF(AD118=21,J118,0)</f>
        <v>0</v>
      </c>
      <c r="AD118" s="61">
        <v>21</v>
      </c>
      <c r="AE118" s="61">
        <f>G118*0.483225806451613</f>
        <v>0</v>
      </c>
      <c r="AF118" s="61">
        <f>G118*(1-0.483225806451613)</f>
        <v>0</v>
      </c>
      <c r="AG118" s="56" t="s">
        <v>13</v>
      </c>
      <c r="AM118" s="61">
        <f>F118*AE118</f>
        <v>0</v>
      </c>
      <c r="AN118" s="61">
        <f>F118*AF118</f>
        <v>0</v>
      </c>
      <c r="AO118" s="62" t="s">
        <v>475</v>
      </c>
      <c r="AP118" s="62" t="s">
        <v>490</v>
      </c>
      <c r="AQ118" s="50" t="s">
        <v>493</v>
      </c>
      <c r="AS118" s="61">
        <f>AM118+AN118</f>
        <v>0</v>
      </c>
      <c r="AT118" s="61">
        <f>G118/(100-AU118)*100</f>
        <v>0</v>
      </c>
      <c r="AU118" s="61">
        <v>0</v>
      </c>
      <c r="AV118" s="61">
        <f>L118</f>
        <v>0.0183601</v>
      </c>
    </row>
    <row r="119" ht="12.75">
      <c r="D119" s="28" t="s">
        <v>359</v>
      </c>
    </row>
    <row r="120" spans="1:48" ht="12.75">
      <c r="A120" s="10" t="s">
        <v>78</v>
      </c>
      <c r="B120" s="10"/>
      <c r="C120" s="10" t="s">
        <v>205</v>
      </c>
      <c r="D120" s="10" t="s">
        <v>360</v>
      </c>
      <c r="E120" s="10" t="s">
        <v>429</v>
      </c>
      <c r="F120" s="34">
        <v>166.91</v>
      </c>
      <c r="G120" s="34">
        <v>0</v>
      </c>
      <c r="H120" s="34">
        <f>F120*AE120</f>
        <v>0</v>
      </c>
      <c r="I120" s="34">
        <f>J120-H120</f>
        <v>0</v>
      </c>
      <c r="J120" s="34">
        <f>F120*G120</f>
        <v>0</v>
      </c>
      <c r="K120" s="34">
        <v>0</v>
      </c>
      <c r="L120" s="34">
        <f>F120*K120</f>
        <v>0</v>
      </c>
      <c r="M120" s="56" t="s">
        <v>449</v>
      </c>
      <c r="P120" s="61">
        <f>IF(AG120="5",J120,0)</f>
        <v>0</v>
      </c>
      <c r="R120" s="61">
        <f>IF(AG120="1",H120,0)</f>
        <v>0</v>
      </c>
      <c r="S120" s="61">
        <f>IF(AG120="1",I120,0)</f>
        <v>0</v>
      </c>
      <c r="T120" s="61">
        <f>IF(AG120="7",H120,0)</f>
        <v>0</v>
      </c>
      <c r="U120" s="61">
        <f>IF(AG120="7",I120,0)</f>
        <v>0</v>
      </c>
      <c r="V120" s="61">
        <f>IF(AG120="2",H120,0)</f>
        <v>0</v>
      </c>
      <c r="W120" s="61">
        <f>IF(AG120="2",I120,0)</f>
        <v>0</v>
      </c>
      <c r="X120" s="61">
        <f>IF(AG120="0",J120,0)</f>
        <v>0</v>
      </c>
      <c r="Y120" s="50"/>
      <c r="Z120" s="34">
        <f>IF(AD120=0,J120,0)</f>
        <v>0</v>
      </c>
      <c r="AA120" s="34">
        <f>IF(AD120=15,J120,0)</f>
        <v>0</v>
      </c>
      <c r="AB120" s="34">
        <f>IF(AD120=21,J120,0)</f>
        <v>0</v>
      </c>
      <c r="AD120" s="61">
        <v>21</v>
      </c>
      <c r="AE120" s="61">
        <f>G120*0</f>
        <v>0</v>
      </c>
      <c r="AF120" s="61">
        <f>G120*(1-0)</f>
        <v>0</v>
      </c>
      <c r="AG120" s="56" t="s">
        <v>13</v>
      </c>
      <c r="AM120" s="61">
        <f>F120*AE120</f>
        <v>0</v>
      </c>
      <c r="AN120" s="61">
        <f>F120*AF120</f>
        <v>0</v>
      </c>
      <c r="AO120" s="62" t="s">
        <v>475</v>
      </c>
      <c r="AP120" s="62" t="s">
        <v>490</v>
      </c>
      <c r="AQ120" s="50" t="s">
        <v>493</v>
      </c>
      <c r="AS120" s="61">
        <f>AM120+AN120</f>
        <v>0</v>
      </c>
      <c r="AT120" s="61">
        <f>G120/(100-AU120)*100</f>
        <v>0</v>
      </c>
      <c r="AU120" s="61">
        <v>0</v>
      </c>
      <c r="AV120" s="61">
        <f>L120</f>
        <v>0</v>
      </c>
    </row>
    <row r="121" ht="12.75">
      <c r="D121" s="28" t="s">
        <v>350</v>
      </c>
    </row>
    <row r="122" spans="1:48" ht="12.75">
      <c r="A122" s="12" t="s">
        <v>79</v>
      </c>
      <c r="B122" s="12"/>
      <c r="C122" s="12" t="s">
        <v>206</v>
      </c>
      <c r="D122" s="12" t="s">
        <v>361</v>
      </c>
      <c r="E122" s="12" t="s">
        <v>429</v>
      </c>
      <c r="F122" s="35">
        <v>171.92</v>
      </c>
      <c r="G122" s="35">
        <v>0</v>
      </c>
      <c r="H122" s="35">
        <f>F122*AE122</f>
        <v>0</v>
      </c>
      <c r="I122" s="35">
        <f>J122-H122</f>
        <v>0</v>
      </c>
      <c r="J122" s="35">
        <f>F122*G122</f>
        <v>0</v>
      </c>
      <c r="K122" s="35">
        <v>0.0192</v>
      </c>
      <c r="L122" s="35">
        <f>F122*K122</f>
        <v>3.3008639999999994</v>
      </c>
      <c r="M122" s="57" t="s">
        <v>449</v>
      </c>
      <c r="P122" s="61">
        <f>IF(AG122="5",J122,0)</f>
        <v>0</v>
      </c>
      <c r="R122" s="61">
        <f>IF(AG122="1",H122,0)</f>
        <v>0</v>
      </c>
      <c r="S122" s="61">
        <f>IF(AG122="1",I122,0)</f>
        <v>0</v>
      </c>
      <c r="T122" s="61">
        <f>IF(AG122="7",H122,0)</f>
        <v>0</v>
      </c>
      <c r="U122" s="61">
        <f>IF(AG122="7",I122,0)</f>
        <v>0</v>
      </c>
      <c r="V122" s="61">
        <f>IF(AG122="2",H122,0)</f>
        <v>0</v>
      </c>
      <c r="W122" s="61">
        <f>IF(AG122="2",I122,0)</f>
        <v>0</v>
      </c>
      <c r="X122" s="61">
        <f>IF(AG122="0",J122,0)</f>
        <v>0</v>
      </c>
      <c r="Y122" s="50"/>
      <c r="Z122" s="35">
        <f>IF(AD122=0,J122,0)</f>
        <v>0</v>
      </c>
      <c r="AA122" s="35">
        <f>IF(AD122=15,J122,0)</f>
        <v>0</v>
      </c>
      <c r="AB122" s="35">
        <f>IF(AD122=21,J122,0)</f>
        <v>0</v>
      </c>
      <c r="AD122" s="61">
        <v>21</v>
      </c>
      <c r="AE122" s="61">
        <f>G122*1</f>
        <v>0</v>
      </c>
      <c r="AF122" s="61">
        <f>G122*(1-1)</f>
        <v>0</v>
      </c>
      <c r="AG122" s="57" t="s">
        <v>13</v>
      </c>
      <c r="AM122" s="61">
        <f>F122*AE122</f>
        <v>0</v>
      </c>
      <c r="AN122" s="61">
        <f>F122*AF122</f>
        <v>0</v>
      </c>
      <c r="AO122" s="62" t="s">
        <v>475</v>
      </c>
      <c r="AP122" s="62" t="s">
        <v>490</v>
      </c>
      <c r="AQ122" s="50" t="s">
        <v>493</v>
      </c>
      <c r="AS122" s="61">
        <f>AM122+AN122</f>
        <v>0</v>
      </c>
      <c r="AT122" s="61">
        <f>G122/(100-AU122)*100</f>
        <v>0</v>
      </c>
      <c r="AU122" s="61">
        <v>0</v>
      </c>
      <c r="AV122" s="61">
        <f>L122</f>
        <v>3.3008639999999994</v>
      </c>
    </row>
    <row r="123" spans="1:48" ht="12.75">
      <c r="A123" s="10" t="s">
        <v>80</v>
      </c>
      <c r="B123" s="10"/>
      <c r="C123" s="10" t="s">
        <v>207</v>
      </c>
      <c r="D123" s="10" t="s">
        <v>362</v>
      </c>
      <c r="E123" s="10" t="s">
        <v>426</v>
      </c>
      <c r="F123" s="34">
        <v>110</v>
      </c>
      <c r="G123" s="34">
        <v>0</v>
      </c>
      <c r="H123" s="34">
        <f>F123*AE123</f>
        <v>0</v>
      </c>
      <c r="I123" s="34">
        <f>J123-H123</f>
        <v>0</v>
      </c>
      <c r="J123" s="34">
        <f>F123*G123</f>
        <v>0</v>
      </c>
      <c r="K123" s="34">
        <v>0</v>
      </c>
      <c r="L123" s="34">
        <f>F123*K123</f>
        <v>0</v>
      </c>
      <c r="M123" s="56" t="s">
        <v>449</v>
      </c>
      <c r="P123" s="61">
        <f>IF(AG123="5",J123,0)</f>
        <v>0</v>
      </c>
      <c r="R123" s="61">
        <f>IF(AG123="1",H123,0)</f>
        <v>0</v>
      </c>
      <c r="S123" s="61">
        <f>IF(AG123="1",I123,0)</f>
        <v>0</v>
      </c>
      <c r="T123" s="61">
        <f>IF(AG123="7",H123,0)</f>
        <v>0</v>
      </c>
      <c r="U123" s="61">
        <f>IF(AG123="7",I123,0)</f>
        <v>0</v>
      </c>
      <c r="V123" s="61">
        <f>IF(AG123="2",H123,0)</f>
        <v>0</v>
      </c>
      <c r="W123" s="61">
        <f>IF(AG123="2",I123,0)</f>
        <v>0</v>
      </c>
      <c r="X123" s="61">
        <f>IF(AG123="0",J123,0)</f>
        <v>0</v>
      </c>
      <c r="Y123" s="50"/>
      <c r="Z123" s="34">
        <f>IF(AD123=0,J123,0)</f>
        <v>0</v>
      </c>
      <c r="AA123" s="34">
        <f>IF(AD123=15,J123,0)</f>
        <v>0</v>
      </c>
      <c r="AB123" s="34">
        <f>IF(AD123=21,J123,0)</f>
        <v>0</v>
      </c>
      <c r="AD123" s="61">
        <v>21</v>
      </c>
      <c r="AE123" s="61">
        <f>G123*0.0807749627421759</f>
        <v>0</v>
      </c>
      <c r="AF123" s="61">
        <f>G123*(1-0.0807749627421759)</f>
        <v>0</v>
      </c>
      <c r="AG123" s="56" t="s">
        <v>13</v>
      </c>
      <c r="AM123" s="61">
        <f>F123*AE123</f>
        <v>0</v>
      </c>
      <c r="AN123" s="61">
        <f>F123*AF123</f>
        <v>0</v>
      </c>
      <c r="AO123" s="62" t="s">
        <v>475</v>
      </c>
      <c r="AP123" s="62" t="s">
        <v>490</v>
      </c>
      <c r="AQ123" s="50" t="s">
        <v>493</v>
      </c>
      <c r="AS123" s="61">
        <f>AM123+AN123</f>
        <v>0</v>
      </c>
      <c r="AT123" s="61">
        <f>G123/(100-AU123)*100</f>
        <v>0</v>
      </c>
      <c r="AU123" s="61">
        <v>0</v>
      </c>
      <c r="AV123" s="61">
        <f>L123</f>
        <v>0</v>
      </c>
    </row>
    <row r="124" spans="1:48" ht="12.75">
      <c r="A124" s="10" t="s">
        <v>81</v>
      </c>
      <c r="B124" s="10"/>
      <c r="C124" s="10" t="s">
        <v>208</v>
      </c>
      <c r="D124" s="10" t="s">
        <v>363</v>
      </c>
      <c r="E124" s="10" t="s">
        <v>429</v>
      </c>
      <c r="F124" s="34">
        <v>192.3</v>
      </c>
      <c r="G124" s="34">
        <v>0</v>
      </c>
      <c r="H124" s="34">
        <f>F124*AE124</f>
        <v>0</v>
      </c>
      <c r="I124" s="34">
        <f>J124-H124</f>
        <v>0</v>
      </c>
      <c r="J124" s="34">
        <f>F124*G124</f>
        <v>0</v>
      </c>
      <c r="K124" s="34">
        <v>0.07777</v>
      </c>
      <c r="L124" s="34">
        <f>F124*K124</f>
        <v>14.955171000000002</v>
      </c>
      <c r="M124" s="56" t="s">
        <v>449</v>
      </c>
      <c r="P124" s="61">
        <f>IF(AG124="5",J124,0)</f>
        <v>0</v>
      </c>
      <c r="R124" s="61">
        <f>IF(AG124="1",H124,0)</f>
        <v>0</v>
      </c>
      <c r="S124" s="61">
        <f>IF(AG124="1",I124,0)</f>
        <v>0</v>
      </c>
      <c r="T124" s="61">
        <f>IF(AG124="7",H124,0)</f>
        <v>0</v>
      </c>
      <c r="U124" s="61">
        <f>IF(AG124="7",I124,0)</f>
        <v>0</v>
      </c>
      <c r="V124" s="61">
        <f>IF(AG124="2",H124,0)</f>
        <v>0</v>
      </c>
      <c r="W124" s="61">
        <f>IF(AG124="2",I124,0)</f>
        <v>0</v>
      </c>
      <c r="X124" s="61">
        <f>IF(AG124="0",J124,0)</f>
        <v>0</v>
      </c>
      <c r="Y124" s="50"/>
      <c r="Z124" s="34">
        <f>IF(AD124=0,J124,0)</f>
        <v>0</v>
      </c>
      <c r="AA124" s="34">
        <f>IF(AD124=15,J124,0)</f>
        <v>0</v>
      </c>
      <c r="AB124" s="34">
        <f>IF(AD124=21,J124,0)</f>
        <v>0</v>
      </c>
      <c r="AD124" s="61">
        <v>21</v>
      </c>
      <c r="AE124" s="61">
        <f>G124*0.632730434782609</f>
        <v>0</v>
      </c>
      <c r="AF124" s="61">
        <f>G124*(1-0.632730434782609)</f>
        <v>0</v>
      </c>
      <c r="AG124" s="56" t="s">
        <v>13</v>
      </c>
      <c r="AM124" s="61">
        <f>F124*AE124</f>
        <v>0</v>
      </c>
      <c r="AN124" s="61">
        <f>F124*AF124</f>
        <v>0</v>
      </c>
      <c r="AO124" s="62" t="s">
        <v>475</v>
      </c>
      <c r="AP124" s="62" t="s">
        <v>490</v>
      </c>
      <c r="AQ124" s="50" t="s">
        <v>493</v>
      </c>
      <c r="AS124" s="61">
        <f>AM124+AN124</f>
        <v>0</v>
      </c>
      <c r="AT124" s="61">
        <f>G124/(100-AU124)*100</f>
        <v>0</v>
      </c>
      <c r="AU124" s="61">
        <v>0</v>
      </c>
      <c r="AV124" s="61">
        <f>L124</f>
        <v>14.955171000000002</v>
      </c>
    </row>
    <row r="125" spans="1:48" ht="12.75">
      <c r="A125" s="10" t="s">
        <v>82</v>
      </c>
      <c r="B125" s="10"/>
      <c r="C125" s="10" t="s">
        <v>209</v>
      </c>
      <c r="D125" s="10" t="s">
        <v>364</v>
      </c>
      <c r="E125" s="10" t="s">
        <v>428</v>
      </c>
      <c r="F125" s="34">
        <v>18.2744</v>
      </c>
      <c r="G125" s="34">
        <v>0</v>
      </c>
      <c r="H125" s="34">
        <f>F125*AE125</f>
        <v>0</v>
      </c>
      <c r="I125" s="34">
        <f>J125-H125</f>
        <v>0</v>
      </c>
      <c r="J125" s="34">
        <f>F125*G125</f>
        <v>0</v>
      </c>
      <c r="K125" s="34">
        <v>0</v>
      </c>
      <c r="L125" s="34">
        <f>F125*K125</f>
        <v>0</v>
      </c>
      <c r="M125" s="56" t="s">
        <v>449</v>
      </c>
      <c r="P125" s="61">
        <f>IF(AG125="5",J125,0)</f>
        <v>0</v>
      </c>
      <c r="R125" s="61">
        <f>IF(AG125="1",H125,0)</f>
        <v>0</v>
      </c>
      <c r="S125" s="61">
        <f>IF(AG125="1",I125,0)</f>
        <v>0</v>
      </c>
      <c r="T125" s="61">
        <f>IF(AG125="7",H125,0)</f>
        <v>0</v>
      </c>
      <c r="U125" s="61">
        <f>IF(AG125="7",I125,0)</f>
        <v>0</v>
      </c>
      <c r="V125" s="61">
        <f>IF(AG125="2",H125,0)</f>
        <v>0</v>
      </c>
      <c r="W125" s="61">
        <f>IF(AG125="2",I125,0)</f>
        <v>0</v>
      </c>
      <c r="X125" s="61">
        <f>IF(AG125="0",J125,0)</f>
        <v>0</v>
      </c>
      <c r="Y125" s="50"/>
      <c r="Z125" s="34">
        <f>IF(AD125=0,J125,0)</f>
        <v>0</v>
      </c>
      <c r="AA125" s="34">
        <f>IF(AD125=15,J125,0)</f>
        <v>0</v>
      </c>
      <c r="AB125" s="34">
        <f>IF(AD125=21,J125,0)</f>
        <v>0</v>
      </c>
      <c r="AD125" s="61">
        <v>21</v>
      </c>
      <c r="AE125" s="61">
        <f>G125*0</f>
        <v>0</v>
      </c>
      <c r="AF125" s="61">
        <f>G125*(1-0)</f>
        <v>0</v>
      </c>
      <c r="AG125" s="56" t="s">
        <v>11</v>
      </c>
      <c r="AM125" s="61">
        <f>F125*AE125</f>
        <v>0</v>
      </c>
      <c r="AN125" s="61">
        <f>F125*AF125</f>
        <v>0</v>
      </c>
      <c r="AO125" s="62" t="s">
        <v>475</v>
      </c>
      <c r="AP125" s="62" t="s">
        <v>490</v>
      </c>
      <c r="AQ125" s="50" t="s">
        <v>493</v>
      </c>
      <c r="AS125" s="61">
        <f>AM125+AN125</f>
        <v>0</v>
      </c>
      <c r="AT125" s="61">
        <f>G125/(100-AU125)*100</f>
        <v>0</v>
      </c>
      <c r="AU125" s="61">
        <v>0</v>
      </c>
      <c r="AV125" s="61">
        <f>L125</f>
        <v>0</v>
      </c>
    </row>
    <row r="126" spans="1:37" ht="12.75">
      <c r="A126" s="11"/>
      <c r="B126" s="24"/>
      <c r="C126" s="24" t="s">
        <v>210</v>
      </c>
      <c r="D126" s="24" t="s">
        <v>365</v>
      </c>
      <c r="E126" s="32"/>
      <c r="F126" s="32"/>
      <c r="G126" s="32"/>
      <c r="H126" s="64">
        <f>SUM(H127:H131)</f>
        <v>0</v>
      </c>
      <c r="I126" s="64">
        <f>SUM(I127:I131)</f>
        <v>0</v>
      </c>
      <c r="J126" s="64">
        <f>H126+I126</f>
        <v>0</v>
      </c>
      <c r="K126" s="50"/>
      <c r="L126" s="64">
        <f>SUM(L127:L131)</f>
        <v>0.08290699999999998</v>
      </c>
      <c r="M126" s="50"/>
      <c r="Y126" s="50"/>
      <c r="AI126" s="64">
        <f>SUM(Z127:Z131)</f>
        <v>0</v>
      </c>
      <c r="AJ126" s="64">
        <f>SUM(AA127:AA131)</f>
        <v>0</v>
      </c>
      <c r="AK126" s="64">
        <f>SUM(AB127:AB131)</f>
        <v>0</v>
      </c>
    </row>
    <row r="127" spans="1:48" ht="12.75">
      <c r="A127" s="10" t="s">
        <v>83</v>
      </c>
      <c r="B127" s="10"/>
      <c r="C127" s="10" t="s">
        <v>211</v>
      </c>
      <c r="D127" s="10" t="s">
        <v>366</v>
      </c>
      <c r="E127" s="10" t="s">
        <v>429</v>
      </c>
      <c r="F127" s="34">
        <v>25.39</v>
      </c>
      <c r="G127" s="34">
        <v>0</v>
      </c>
      <c r="H127" s="34">
        <f>F127*AE127</f>
        <v>0</v>
      </c>
      <c r="I127" s="34">
        <f>J127-H127</f>
        <v>0</v>
      </c>
      <c r="J127" s="34">
        <f>F127*G127</f>
        <v>0</v>
      </c>
      <c r="K127" s="34">
        <v>0</v>
      </c>
      <c r="L127" s="34">
        <f>F127*K127</f>
        <v>0</v>
      </c>
      <c r="M127" s="56" t="s">
        <v>449</v>
      </c>
      <c r="P127" s="61">
        <f>IF(AG127="5",J127,0)</f>
        <v>0</v>
      </c>
      <c r="R127" s="61">
        <f>IF(AG127="1",H127,0)</f>
        <v>0</v>
      </c>
      <c r="S127" s="61">
        <f>IF(AG127="1",I127,0)</f>
        <v>0</v>
      </c>
      <c r="T127" s="61">
        <f>IF(AG127="7",H127,0)</f>
        <v>0</v>
      </c>
      <c r="U127" s="61">
        <f>IF(AG127="7",I127,0)</f>
        <v>0</v>
      </c>
      <c r="V127" s="61">
        <f>IF(AG127="2",H127,0)</f>
        <v>0</v>
      </c>
      <c r="W127" s="61">
        <f>IF(AG127="2",I127,0)</f>
        <v>0</v>
      </c>
      <c r="X127" s="61">
        <f>IF(AG127="0",J127,0)</f>
        <v>0</v>
      </c>
      <c r="Y127" s="50"/>
      <c r="Z127" s="34">
        <f>IF(AD127=0,J127,0)</f>
        <v>0</v>
      </c>
      <c r="AA127" s="34">
        <f>IF(AD127=15,J127,0)</f>
        <v>0</v>
      </c>
      <c r="AB127" s="34">
        <f>IF(AD127=21,J127,0)</f>
        <v>0</v>
      </c>
      <c r="AD127" s="61">
        <v>21</v>
      </c>
      <c r="AE127" s="61">
        <f>G127*0</f>
        <v>0</v>
      </c>
      <c r="AF127" s="61">
        <f>G127*(1-0)</f>
        <v>0</v>
      </c>
      <c r="AG127" s="56" t="s">
        <v>13</v>
      </c>
      <c r="AM127" s="61">
        <f>F127*AE127</f>
        <v>0</v>
      </c>
      <c r="AN127" s="61">
        <f>F127*AF127</f>
        <v>0</v>
      </c>
      <c r="AO127" s="62" t="s">
        <v>476</v>
      </c>
      <c r="AP127" s="62" t="s">
        <v>490</v>
      </c>
      <c r="AQ127" s="50" t="s">
        <v>493</v>
      </c>
      <c r="AS127" s="61">
        <f>AM127+AN127</f>
        <v>0</v>
      </c>
      <c r="AT127" s="61">
        <f>G127/(100-AU127)*100</f>
        <v>0</v>
      </c>
      <c r="AU127" s="61">
        <v>0</v>
      </c>
      <c r="AV127" s="61">
        <f>L127</f>
        <v>0</v>
      </c>
    </row>
    <row r="128" ht="12.75">
      <c r="D128" s="28" t="s">
        <v>367</v>
      </c>
    </row>
    <row r="129" spans="1:48" ht="12.75">
      <c r="A129" s="12" t="s">
        <v>84</v>
      </c>
      <c r="B129" s="12"/>
      <c r="C129" s="12" t="s">
        <v>212</v>
      </c>
      <c r="D129" s="12" t="s">
        <v>368</v>
      </c>
      <c r="E129" s="12" t="s">
        <v>429</v>
      </c>
      <c r="F129" s="35">
        <v>26.15</v>
      </c>
      <c r="G129" s="35">
        <v>0</v>
      </c>
      <c r="H129" s="35">
        <f>F129*AE129</f>
        <v>0</v>
      </c>
      <c r="I129" s="35">
        <f>J129-H129</f>
        <v>0</v>
      </c>
      <c r="J129" s="35">
        <f>F129*G129</f>
        <v>0</v>
      </c>
      <c r="K129" s="35">
        <v>0.0029</v>
      </c>
      <c r="L129" s="35">
        <f>F129*K129</f>
        <v>0.07583499999999999</v>
      </c>
      <c r="M129" s="57" t="s">
        <v>449</v>
      </c>
      <c r="P129" s="61">
        <f>IF(AG129="5",J129,0)</f>
        <v>0</v>
      </c>
      <c r="R129" s="61">
        <f>IF(AG129="1",H129,0)</f>
        <v>0</v>
      </c>
      <c r="S129" s="61">
        <f>IF(AG129="1",I129,0)</f>
        <v>0</v>
      </c>
      <c r="T129" s="61">
        <f>IF(AG129="7",H129,0)</f>
        <v>0</v>
      </c>
      <c r="U129" s="61">
        <f>IF(AG129="7",I129,0)</f>
        <v>0</v>
      </c>
      <c r="V129" s="61">
        <f>IF(AG129="2",H129,0)</f>
        <v>0</v>
      </c>
      <c r="W129" s="61">
        <f>IF(AG129="2",I129,0)</f>
        <v>0</v>
      </c>
      <c r="X129" s="61">
        <f>IF(AG129="0",J129,0)</f>
        <v>0</v>
      </c>
      <c r="Y129" s="50"/>
      <c r="Z129" s="35">
        <f>IF(AD129=0,J129,0)</f>
        <v>0</v>
      </c>
      <c r="AA129" s="35">
        <f>IF(AD129=15,J129,0)</f>
        <v>0</v>
      </c>
      <c r="AB129" s="35">
        <f>IF(AD129=21,J129,0)</f>
        <v>0</v>
      </c>
      <c r="AD129" s="61">
        <v>21</v>
      </c>
      <c r="AE129" s="61">
        <f>G129*1</f>
        <v>0</v>
      </c>
      <c r="AF129" s="61">
        <f>G129*(1-1)</f>
        <v>0</v>
      </c>
      <c r="AG129" s="57" t="s">
        <v>13</v>
      </c>
      <c r="AM129" s="61">
        <f>F129*AE129</f>
        <v>0</v>
      </c>
      <c r="AN129" s="61">
        <f>F129*AF129</f>
        <v>0</v>
      </c>
      <c r="AO129" s="62" t="s">
        <v>476</v>
      </c>
      <c r="AP129" s="62" t="s">
        <v>490</v>
      </c>
      <c r="AQ129" s="50" t="s">
        <v>493</v>
      </c>
      <c r="AS129" s="61">
        <f>AM129+AN129</f>
        <v>0</v>
      </c>
      <c r="AT129" s="61">
        <f>G129/(100-AU129)*100</f>
        <v>0</v>
      </c>
      <c r="AU129" s="61">
        <v>0</v>
      </c>
      <c r="AV129" s="61">
        <f>L129</f>
        <v>0.07583499999999999</v>
      </c>
    </row>
    <row r="130" spans="1:48" ht="12.75">
      <c r="A130" s="10" t="s">
        <v>85</v>
      </c>
      <c r="B130" s="10"/>
      <c r="C130" s="10" t="s">
        <v>213</v>
      </c>
      <c r="D130" s="10" t="s">
        <v>369</v>
      </c>
      <c r="E130" s="10" t="s">
        <v>426</v>
      </c>
      <c r="F130" s="34">
        <v>20.8</v>
      </c>
      <c r="G130" s="34">
        <v>0</v>
      </c>
      <c r="H130" s="34">
        <f>F130*AE130</f>
        <v>0</v>
      </c>
      <c r="I130" s="34">
        <f>J130-H130</f>
        <v>0</v>
      </c>
      <c r="J130" s="34">
        <f>F130*G130</f>
        <v>0</v>
      </c>
      <c r="K130" s="34">
        <v>0.00034</v>
      </c>
      <c r="L130" s="34">
        <f>F130*K130</f>
        <v>0.007072000000000001</v>
      </c>
      <c r="M130" s="56" t="s">
        <v>450</v>
      </c>
      <c r="P130" s="61">
        <f>IF(AG130="5",J130,0)</f>
        <v>0</v>
      </c>
      <c r="R130" s="61">
        <f>IF(AG130="1",H130,0)</f>
        <v>0</v>
      </c>
      <c r="S130" s="61">
        <f>IF(AG130="1",I130,0)</f>
        <v>0</v>
      </c>
      <c r="T130" s="61">
        <f>IF(AG130="7",H130,0)</f>
        <v>0</v>
      </c>
      <c r="U130" s="61">
        <f>IF(AG130="7",I130,0)</f>
        <v>0</v>
      </c>
      <c r="V130" s="61">
        <f>IF(AG130="2",H130,0)</f>
        <v>0</v>
      </c>
      <c r="W130" s="61">
        <f>IF(AG130="2",I130,0)</f>
        <v>0</v>
      </c>
      <c r="X130" s="61">
        <f>IF(AG130="0",J130,0)</f>
        <v>0</v>
      </c>
      <c r="Y130" s="50"/>
      <c r="Z130" s="34">
        <f>IF(AD130=0,J130,0)</f>
        <v>0</v>
      </c>
      <c r="AA130" s="34">
        <f>IF(AD130=15,J130,0)</f>
        <v>0</v>
      </c>
      <c r="AB130" s="34">
        <f>IF(AD130=21,J130,0)</f>
        <v>0</v>
      </c>
      <c r="AD130" s="61">
        <v>21</v>
      </c>
      <c r="AE130" s="61">
        <f>G130*0.820350877192982</f>
        <v>0</v>
      </c>
      <c r="AF130" s="61">
        <f>G130*(1-0.820350877192982)</f>
        <v>0</v>
      </c>
      <c r="AG130" s="56" t="s">
        <v>13</v>
      </c>
      <c r="AM130" s="61">
        <f>F130*AE130</f>
        <v>0</v>
      </c>
      <c r="AN130" s="61">
        <f>F130*AF130</f>
        <v>0</v>
      </c>
      <c r="AO130" s="62" t="s">
        <v>476</v>
      </c>
      <c r="AP130" s="62" t="s">
        <v>490</v>
      </c>
      <c r="AQ130" s="50" t="s">
        <v>493</v>
      </c>
      <c r="AS130" s="61">
        <f>AM130+AN130</f>
        <v>0</v>
      </c>
      <c r="AT130" s="61">
        <f>G130/(100-AU130)*100</f>
        <v>0</v>
      </c>
      <c r="AU130" s="61">
        <v>0</v>
      </c>
      <c r="AV130" s="61">
        <f>L130</f>
        <v>0.007072000000000001</v>
      </c>
    </row>
    <row r="131" spans="1:48" ht="12.75">
      <c r="A131" s="10" t="s">
        <v>86</v>
      </c>
      <c r="B131" s="10"/>
      <c r="C131" s="10" t="s">
        <v>214</v>
      </c>
      <c r="D131" s="10" t="s">
        <v>370</v>
      </c>
      <c r="E131" s="10" t="s">
        <v>428</v>
      </c>
      <c r="F131" s="34">
        <v>0.0829</v>
      </c>
      <c r="G131" s="34">
        <v>0</v>
      </c>
      <c r="H131" s="34">
        <f>F131*AE131</f>
        <v>0</v>
      </c>
      <c r="I131" s="34">
        <f>J131-H131</f>
        <v>0</v>
      </c>
      <c r="J131" s="34">
        <f>F131*G131</f>
        <v>0</v>
      </c>
      <c r="K131" s="34">
        <v>0</v>
      </c>
      <c r="L131" s="34">
        <f>F131*K131</f>
        <v>0</v>
      </c>
      <c r="M131" s="56" t="s">
        <v>449</v>
      </c>
      <c r="P131" s="61">
        <f>IF(AG131="5",J131,0)</f>
        <v>0</v>
      </c>
      <c r="R131" s="61">
        <f>IF(AG131="1",H131,0)</f>
        <v>0</v>
      </c>
      <c r="S131" s="61">
        <f>IF(AG131="1",I131,0)</f>
        <v>0</v>
      </c>
      <c r="T131" s="61">
        <f>IF(AG131="7",H131,0)</f>
        <v>0</v>
      </c>
      <c r="U131" s="61">
        <f>IF(AG131="7",I131,0)</f>
        <v>0</v>
      </c>
      <c r="V131" s="61">
        <f>IF(AG131="2",H131,0)</f>
        <v>0</v>
      </c>
      <c r="W131" s="61">
        <f>IF(AG131="2",I131,0)</f>
        <v>0</v>
      </c>
      <c r="X131" s="61">
        <f>IF(AG131="0",J131,0)</f>
        <v>0</v>
      </c>
      <c r="Y131" s="50"/>
      <c r="Z131" s="34">
        <f>IF(AD131=0,J131,0)</f>
        <v>0</v>
      </c>
      <c r="AA131" s="34">
        <f>IF(AD131=15,J131,0)</f>
        <v>0</v>
      </c>
      <c r="AB131" s="34">
        <f>IF(AD131=21,J131,0)</f>
        <v>0</v>
      </c>
      <c r="AD131" s="61">
        <v>21</v>
      </c>
      <c r="AE131" s="61">
        <f>G131*0</f>
        <v>0</v>
      </c>
      <c r="AF131" s="61">
        <f>G131*(1-0)</f>
        <v>0</v>
      </c>
      <c r="AG131" s="56" t="s">
        <v>11</v>
      </c>
      <c r="AM131" s="61">
        <f>F131*AE131</f>
        <v>0</v>
      </c>
      <c r="AN131" s="61">
        <f>F131*AF131</f>
        <v>0</v>
      </c>
      <c r="AO131" s="62" t="s">
        <v>476</v>
      </c>
      <c r="AP131" s="62" t="s">
        <v>490</v>
      </c>
      <c r="AQ131" s="50" t="s">
        <v>493</v>
      </c>
      <c r="AS131" s="61">
        <f>AM131+AN131</f>
        <v>0</v>
      </c>
      <c r="AT131" s="61">
        <f>G131/(100-AU131)*100</f>
        <v>0</v>
      </c>
      <c r="AU131" s="61">
        <v>0</v>
      </c>
      <c r="AV131" s="61">
        <f>L131</f>
        <v>0</v>
      </c>
    </row>
    <row r="132" spans="1:37" ht="12.75">
      <c r="A132" s="11"/>
      <c r="B132" s="24"/>
      <c r="C132" s="24" t="s">
        <v>215</v>
      </c>
      <c r="D132" s="24" t="s">
        <v>371</v>
      </c>
      <c r="E132" s="32"/>
      <c r="F132" s="32"/>
      <c r="G132" s="32"/>
      <c r="H132" s="64">
        <f>SUM(H133:H143)</f>
        <v>0</v>
      </c>
      <c r="I132" s="64">
        <f>SUM(I133:I143)</f>
        <v>0</v>
      </c>
      <c r="J132" s="64">
        <f>H132+I132</f>
        <v>0</v>
      </c>
      <c r="K132" s="50"/>
      <c r="L132" s="64">
        <f>SUM(L133:L143)</f>
        <v>11.2027934</v>
      </c>
      <c r="M132" s="50"/>
      <c r="Y132" s="50"/>
      <c r="AI132" s="64">
        <f>SUM(Z133:Z143)</f>
        <v>0</v>
      </c>
      <c r="AJ132" s="64">
        <f>SUM(AA133:AA143)</f>
        <v>0</v>
      </c>
      <c r="AK132" s="64">
        <f>SUM(AB133:AB143)</f>
        <v>0</v>
      </c>
    </row>
    <row r="133" spans="1:48" ht="12.75">
      <c r="A133" s="10" t="s">
        <v>87</v>
      </c>
      <c r="B133" s="10"/>
      <c r="C133" s="10" t="s">
        <v>216</v>
      </c>
      <c r="D133" s="10" t="s">
        <v>372</v>
      </c>
      <c r="E133" s="10" t="s">
        <v>429</v>
      </c>
      <c r="F133" s="34">
        <v>459.43</v>
      </c>
      <c r="G133" s="34">
        <v>0</v>
      </c>
      <c r="H133" s="34">
        <f>F133*AE133</f>
        <v>0</v>
      </c>
      <c r="I133" s="34">
        <f>J133-H133</f>
        <v>0</v>
      </c>
      <c r="J133" s="34">
        <f>F133*G133</f>
        <v>0</v>
      </c>
      <c r="K133" s="34">
        <v>0.00011</v>
      </c>
      <c r="L133" s="34">
        <f>F133*K133</f>
        <v>0.0505373</v>
      </c>
      <c r="M133" s="56" t="s">
        <v>449</v>
      </c>
      <c r="P133" s="61">
        <f>IF(AG133="5",J133,0)</f>
        <v>0</v>
      </c>
      <c r="R133" s="61">
        <f>IF(AG133="1",H133,0)</f>
        <v>0</v>
      </c>
      <c r="S133" s="61">
        <f>IF(AG133="1",I133,0)</f>
        <v>0</v>
      </c>
      <c r="T133" s="61">
        <f>IF(AG133="7",H133,0)</f>
        <v>0</v>
      </c>
      <c r="U133" s="61">
        <f>IF(AG133="7",I133,0)</f>
        <v>0</v>
      </c>
      <c r="V133" s="61">
        <f>IF(AG133="2",H133,0)</f>
        <v>0</v>
      </c>
      <c r="W133" s="61">
        <f>IF(AG133="2",I133,0)</f>
        <v>0</v>
      </c>
      <c r="X133" s="61">
        <f>IF(AG133="0",J133,0)</f>
        <v>0</v>
      </c>
      <c r="Y133" s="50"/>
      <c r="Z133" s="34">
        <f>IF(AD133=0,J133,0)</f>
        <v>0</v>
      </c>
      <c r="AA133" s="34">
        <f>IF(AD133=15,J133,0)</f>
        <v>0</v>
      </c>
      <c r="AB133" s="34">
        <f>IF(AD133=21,J133,0)</f>
        <v>0</v>
      </c>
      <c r="AD133" s="61">
        <v>21</v>
      </c>
      <c r="AE133" s="61">
        <f>G133*0.483225806451613</f>
        <v>0</v>
      </c>
      <c r="AF133" s="61">
        <f>G133*(1-0.483225806451613)</f>
        <v>0</v>
      </c>
      <c r="AG133" s="56" t="s">
        <v>13</v>
      </c>
      <c r="AM133" s="61">
        <f>F133*AE133</f>
        <v>0</v>
      </c>
      <c r="AN133" s="61">
        <f>F133*AF133</f>
        <v>0</v>
      </c>
      <c r="AO133" s="62" t="s">
        <v>477</v>
      </c>
      <c r="AP133" s="62" t="s">
        <v>491</v>
      </c>
      <c r="AQ133" s="50" t="s">
        <v>493</v>
      </c>
      <c r="AS133" s="61">
        <f>AM133+AN133</f>
        <v>0</v>
      </c>
      <c r="AT133" s="61">
        <f>G133/(100-AU133)*100</f>
        <v>0</v>
      </c>
      <c r="AU133" s="61">
        <v>0</v>
      </c>
      <c r="AV133" s="61">
        <f>L133</f>
        <v>0.0505373</v>
      </c>
    </row>
    <row r="134" ht="12.75">
      <c r="D134" s="28" t="s">
        <v>359</v>
      </c>
    </row>
    <row r="135" spans="1:48" ht="12.75">
      <c r="A135" s="10" t="s">
        <v>88</v>
      </c>
      <c r="B135" s="10"/>
      <c r="C135" s="10" t="s">
        <v>217</v>
      </c>
      <c r="D135" s="10" t="s">
        <v>373</v>
      </c>
      <c r="E135" s="10" t="s">
        <v>429</v>
      </c>
      <c r="F135" s="34">
        <v>459.43</v>
      </c>
      <c r="G135" s="34">
        <v>0</v>
      </c>
      <c r="H135" s="34">
        <f>F135*AE135</f>
        <v>0</v>
      </c>
      <c r="I135" s="34">
        <f>J135-H135</f>
        <v>0</v>
      </c>
      <c r="J135" s="34">
        <f>F135*G135</f>
        <v>0</v>
      </c>
      <c r="K135" s="34">
        <v>0.00377</v>
      </c>
      <c r="L135" s="34">
        <f>F135*K135</f>
        <v>1.7320511</v>
      </c>
      <c r="M135" s="56" t="s">
        <v>449</v>
      </c>
      <c r="P135" s="61">
        <f>IF(AG135="5",J135,0)</f>
        <v>0</v>
      </c>
      <c r="R135" s="61">
        <f>IF(AG135="1",H135,0)</f>
        <v>0</v>
      </c>
      <c r="S135" s="61">
        <f>IF(AG135="1",I135,0)</f>
        <v>0</v>
      </c>
      <c r="T135" s="61">
        <f>IF(AG135="7",H135,0)</f>
        <v>0</v>
      </c>
      <c r="U135" s="61">
        <f>IF(AG135="7",I135,0)</f>
        <v>0</v>
      </c>
      <c r="V135" s="61">
        <f>IF(AG135="2",H135,0)</f>
        <v>0</v>
      </c>
      <c r="W135" s="61">
        <f>IF(AG135="2",I135,0)</f>
        <v>0</v>
      </c>
      <c r="X135" s="61">
        <f>IF(AG135="0",J135,0)</f>
        <v>0</v>
      </c>
      <c r="Y135" s="50"/>
      <c r="Z135" s="34">
        <f>IF(AD135=0,J135,0)</f>
        <v>0</v>
      </c>
      <c r="AA135" s="34">
        <f>IF(AD135=15,J135,0)</f>
        <v>0</v>
      </c>
      <c r="AB135" s="34">
        <f>IF(AD135=21,J135,0)</f>
        <v>0</v>
      </c>
      <c r="AD135" s="61">
        <v>21</v>
      </c>
      <c r="AE135" s="61">
        <f>G135*0.32857052538408</f>
        <v>0</v>
      </c>
      <c r="AF135" s="61">
        <f>G135*(1-0.32857052538408)</f>
        <v>0</v>
      </c>
      <c r="AG135" s="56" t="s">
        <v>13</v>
      </c>
      <c r="AM135" s="61">
        <f>F135*AE135</f>
        <v>0</v>
      </c>
      <c r="AN135" s="61">
        <f>F135*AF135</f>
        <v>0</v>
      </c>
      <c r="AO135" s="62" t="s">
        <v>477</v>
      </c>
      <c r="AP135" s="62" t="s">
        <v>491</v>
      </c>
      <c r="AQ135" s="50" t="s">
        <v>493</v>
      </c>
      <c r="AS135" s="61">
        <f>AM135+AN135</f>
        <v>0</v>
      </c>
      <c r="AT135" s="61">
        <f>G135/(100-AU135)*100</f>
        <v>0</v>
      </c>
      <c r="AU135" s="61">
        <v>0</v>
      </c>
      <c r="AV135" s="61">
        <f>L135</f>
        <v>1.7320511</v>
      </c>
    </row>
    <row r="136" ht="12.75">
      <c r="D136" s="28" t="s">
        <v>374</v>
      </c>
    </row>
    <row r="137" spans="1:48" ht="12.75">
      <c r="A137" s="12" t="s">
        <v>89</v>
      </c>
      <c r="B137" s="12"/>
      <c r="C137" s="12" t="s">
        <v>218</v>
      </c>
      <c r="D137" s="12" t="s">
        <v>375</v>
      </c>
      <c r="E137" s="12" t="s">
        <v>429</v>
      </c>
      <c r="F137" s="35">
        <v>243.37</v>
      </c>
      <c r="G137" s="35">
        <v>0</v>
      </c>
      <c r="H137" s="35">
        <f>F137*AE137</f>
        <v>0</v>
      </c>
      <c r="I137" s="35">
        <f>J137-H137</f>
        <v>0</v>
      </c>
      <c r="J137" s="35">
        <f>F137*G137</f>
        <v>0</v>
      </c>
      <c r="K137" s="35">
        <v>0.01943</v>
      </c>
      <c r="L137" s="35">
        <f>F137*K137</f>
        <v>4.7286791</v>
      </c>
      <c r="M137" s="57" t="s">
        <v>449</v>
      </c>
      <c r="P137" s="61">
        <f>IF(AG137="5",J137,0)</f>
        <v>0</v>
      </c>
      <c r="R137" s="61">
        <f>IF(AG137="1",H137,0)</f>
        <v>0</v>
      </c>
      <c r="S137" s="61">
        <f>IF(AG137="1",I137,0)</f>
        <v>0</v>
      </c>
      <c r="T137" s="61">
        <f>IF(AG137="7",H137,0)</f>
        <v>0</v>
      </c>
      <c r="U137" s="61">
        <f>IF(AG137="7",I137,0)</f>
        <v>0</v>
      </c>
      <c r="V137" s="61">
        <f>IF(AG137="2",H137,0)</f>
        <v>0</v>
      </c>
      <c r="W137" s="61">
        <f>IF(AG137="2",I137,0)</f>
        <v>0</v>
      </c>
      <c r="X137" s="61">
        <f>IF(AG137="0",J137,0)</f>
        <v>0</v>
      </c>
      <c r="Y137" s="50"/>
      <c r="Z137" s="35">
        <f>IF(AD137=0,J137,0)</f>
        <v>0</v>
      </c>
      <c r="AA137" s="35">
        <f>IF(AD137=15,J137,0)</f>
        <v>0</v>
      </c>
      <c r="AB137" s="35">
        <f>IF(AD137=21,J137,0)</f>
        <v>0</v>
      </c>
      <c r="AD137" s="61">
        <v>21</v>
      </c>
      <c r="AE137" s="61">
        <f>G137*1</f>
        <v>0</v>
      </c>
      <c r="AF137" s="61">
        <f>G137*(1-1)</f>
        <v>0</v>
      </c>
      <c r="AG137" s="57" t="s">
        <v>13</v>
      </c>
      <c r="AM137" s="61">
        <f>F137*AE137</f>
        <v>0</v>
      </c>
      <c r="AN137" s="61">
        <f>F137*AF137</f>
        <v>0</v>
      </c>
      <c r="AO137" s="62" t="s">
        <v>477</v>
      </c>
      <c r="AP137" s="62" t="s">
        <v>491</v>
      </c>
      <c r="AQ137" s="50" t="s">
        <v>493</v>
      </c>
      <c r="AS137" s="61">
        <f>AM137+AN137</f>
        <v>0</v>
      </c>
      <c r="AT137" s="61">
        <f>G137/(100-AU137)*100</f>
        <v>0</v>
      </c>
      <c r="AU137" s="61">
        <v>0</v>
      </c>
      <c r="AV137" s="61">
        <f>L137</f>
        <v>4.7286791</v>
      </c>
    </row>
    <row r="138" spans="1:48" ht="12.75">
      <c r="A138" s="12" t="s">
        <v>90</v>
      </c>
      <c r="B138" s="12"/>
      <c r="C138" s="12" t="s">
        <v>219</v>
      </c>
      <c r="D138" s="12" t="s">
        <v>376</v>
      </c>
      <c r="E138" s="12" t="s">
        <v>429</v>
      </c>
      <c r="F138" s="35">
        <v>180.92</v>
      </c>
      <c r="G138" s="35">
        <v>0</v>
      </c>
      <c r="H138" s="35">
        <f>F138*AE138</f>
        <v>0</v>
      </c>
      <c r="I138" s="35">
        <f>J138-H138</f>
        <v>0</v>
      </c>
      <c r="J138" s="35">
        <f>F138*G138</f>
        <v>0</v>
      </c>
      <c r="K138" s="35">
        <v>0.01943</v>
      </c>
      <c r="L138" s="35">
        <f>F138*K138</f>
        <v>3.5152756</v>
      </c>
      <c r="M138" s="57" t="s">
        <v>449</v>
      </c>
      <c r="P138" s="61">
        <f>IF(AG138="5",J138,0)</f>
        <v>0</v>
      </c>
      <c r="R138" s="61">
        <f>IF(AG138="1",H138,0)</f>
        <v>0</v>
      </c>
      <c r="S138" s="61">
        <f>IF(AG138="1",I138,0)</f>
        <v>0</v>
      </c>
      <c r="T138" s="61">
        <f>IF(AG138="7",H138,0)</f>
        <v>0</v>
      </c>
      <c r="U138" s="61">
        <f>IF(AG138="7",I138,0)</f>
        <v>0</v>
      </c>
      <c r="V138" s="61">
        <f>IF(AG138="2",H138,0)</f>
        <v>0</v>
      </c>
      <c r="W138" s="61">
        <f>IF(AG138="2",I138,0)</f>
        <v>0</v>
      </c>
      <c r="X138" s="61">
        <f>IF(AG138="0",J138,0)</f>
        <v>0</v>
      </c>
      <c r="Y138" s="50"/>
      <c r="Z138" s="35">
        <f>IF(AD138=0,J138,0)</f>
        <v>0</v>
      </c>
      <c r="AA138" s="35">
        <f>IF(AD138=15,J138,0)</f>
        <v>0</v>
      </c>
      <c r="AB138" s="35">
        <f>IF(AD138=21,J138,0)</f>
        <v>0</v>
      </c>
      <c r="AD138" s="61">
        <v>21</v>
      </c>
      <c r="AE138" s="61">
        <f>G138*1</f>
        <v>0</v>
      </c>
      <c r="AF138" s="61">
        <f>G138*(1-1)</f>
        <v>0</v>
      </c>
      <c r="AG138" s="57" t="s">
        <v>13</v>
      </c>
      <c r="AM138" s="61">
        <f>F138*AE138</f>
        <v>0</v>
      </c>
      <c r="AN138" s="61">
        <f>F138*AF138</f>
        <v>0</v>
      </c>
      <c r="AO138" s="62" t="s">
        <v>477</v>
      </c>
      <c r="AP138" s="62" t="s">
        <v>491</v>
      </c>
      <c r="AQ138" s="50" t="s">
        <v>493</v>
      </c>
      <c r="AS138" s="61">
        <f>AM138+AN138</f>
        <v>0</v>
      </c>
      <c r="AT138" s="61">
        <f>G138/(100-AU138)*100</f>
        <v>0</v>
      </c>
      <c r="AU138" s="61">
        <v>0</v>
      </c>
      <c r="AV138" s="61">
        <f>L138</f>
        <v>3.5152756</v>
      </c>
    </row>
    <row r="139" spans="1:48" ht="12.75">
      <c r="A139" s="12" t="s">
        <v>91</v>
      </c>
      <c r="B139" s="12"/>
      <c r="C139" s="12" t="s">
        <v>220</v>
      </c>
      <c r="D139" s="12" t="s">
        <v>377</v>
      </c>
      <c r="E139" s="12" t="s">
        <v>429</v>
      </c>
      <c r="F139" s="35">
        <v>20.79</v>
      </c>
      <c r="G139" s="35">
        <v>0</v>
      </c>
      <c r="H139" s="35">
        <f>F139*AE139</f>
        <v>0</v>
      </c>
      <c r="I139" s="35">
        <f>J139-H139</f>
        <v>0</v>
      </c>
      <c r="J139" s="35">
        <f>F139*G139</f>
        <v>0</v>
      </c>
      <c r="K139" s="35">
        <v>0.01943</v>
      </c>
      <c r="L139" s="35">
        <f>F139*K139</f>
        <v>0.40394969999999997</v>
      </c>
      <c r="M139" s="57" t="s">
        <v>449</v>
      </c>
      <c r="P139" s="61">
        <f>IF(AG139="5",J139,0)</f>
        <v>0</v>
      </c>
      <c r="R139" s="61">
        <f>IF(AG139="1",H139,0)</f>
        <v>0</v>
      </c>
      <c r="S139" s="61">
        <f>IF(AG139="1",I139,0)</f>
        <v>0</v>
      </c>
      <c r="T139" s="61">
        <f>IF(AG139="7",H139,0)</f>
        <v>0</v>
      </c>
      <c r="U139" s="61">
        <f>IF(AG139="7",I139,0)</f>
        <v>0</v>
      </c>
      <c r="V139" s="61">
        <f>IF(AG139="2",H139,0)</f>
        <v>0</v>
      </c>
      <c r="W139" s="61">
        <f>IF(AG139="2",I139,0)</f>
        <v>0</v>
      </c>
      <c r="X139" s="61">
        <f>IF(AG139="0",J139,0)</f>
        <v>0</v>
      </c>
      <c r="Y139" s="50"/>
      <c r="Z139" s="35">
        <f>IF(AD139=0,J139,0)</f>
        <v>0</v>
      </c>
      <c r="AA139" s="35">
        <f>IF(AD139=15,J139,0)</f>
        <v>0</v>
      </c>
      <c r="AB139" s="35">
        <f>IF(AD139=21,J139,0)</f>
        <v>0</v>
      </c>
      <c r="AD139" s="61">
        <v>21</v>
      </c>
      <c r="AE139" s="61">
        <f>G139*1</f>
        <v>0</v>
      </c>
      <c r="AF139" s="61">
        <f>G139*(1-1)</f>
        <v>0</v>
      </c>
      <c r="AG139" s="57" t="s">
        <v>13</v>
      </c>
      <c r="AM139" s="61">
        <f>F139*AE139</f>
        <v>0</v>
      </c>
      <c r="AN139" s="61">
        <f>F139*AF139</f>
        <v>0</v>
      </c>
      <c r="AO139" s="62" t="s">
        <v>477</v>
      </c>
      <c r="AP139" s="62" t="s">
        <v>491</v>
      </c>
      <c r="AQ139" s="50" t="s">
        <v>493</v>
      </c>
      <c r="AS139" s="61">
        <f>AM139+AN139</f>
        <v>0</v>
      </c>
      <c r="AT139" s="61">
        <f>G139/(100-AU139)*100</f>
        <v>0</v>
      </c>
      <c r="AU139" s="61">
        <v>0</v>
      </c>
      <c r="AV139" s="61">
        <f>L139</f>
        <v>0.40394969999999997</v>
      </c>
    </row>
    <row r="140" spans="1:48" ht="12.75">
      <c r="A140" s="12" t="s">
        <v>92</v>
      </c>
      <c r="B140" s="12"/>
      <c r="C140" s="12" t="s">
        <v>221</v>
      </c>
      <c r="D140" s="12" t="s">
        <v>378</v>
      </c>
      <c r="E140" s="12" t="s">
        <v>429</v>
      </c>
      <c r="F140" s="35">
        <v>32.12</v>
      </c>
      <c r="G140" s="35">
        <v>0</v>
      </c>
      <c r="H140" s="35">
        <f>F140*AE140</f>
        <v>0</v>
      </c>
      <c r="I140" s="35">
        <f>J140-H140</f>
        <v>0</v>
      </c>
      <c r="J140" s="35">
        <f>F140*G140</f>
        <v>0</v>
      </c>
      <c r="K140" s="35">
        <v>0.01943</v>
      </c>
      <c r="L140" s="35">
        <f>F140*K140</f>
        <v>0.6240916</v>
      </c>
      <c r="M140" s="57" t="s">
        <v>449</v>
      </c>
      <c r="P140" s="61">
        <f>IF(AG140="5",J140,0)</f>
        <v>0</v>
      </c>
      <c r="R140" s="61">
        <f>IF(AG140="1",H140,0)</f>
        <v>0</v>
      </c>
      <c r="S140" s="61">
        <f>IF(AG140="1",I140,0)</f>
        <v>0</v>
      </c>
      <c r="T140" s="61">
        <f>IF(AG140="7",H140,0)</f>
        <v>0</v>
      </c>
      <c r="U140" s="61">
        <f>IF(AG140="7",I140,0)</f>
        <v>0</v>
      </c>
      <c r="V140" s="61">
        <f>IF(AG140="2",H140,0)</f>
        <v>0</v>
      </c>
      <c r="W140" s="61">
        <f>IF(AG140="2",I140,0)</f>
        <v>0</v>
      </c>
      <c r="X140" s="61">
        <f>IF(AG140="0",J140,0)</f>
        <v>0</v>
      </c>
      <c r="Y140" s="50"/>
      <c r="Z140" s="35">
        <f>IF(AD140=0,J140,0)</f>
        <v>0</v>
      </c>
      <c r="AA140" s="35">
        <f>IF(AD140=15,J140,0)</f>
        <v>0</v>
      </c>
      <c r="AB140" s="35">
        <f>IF(AD140=21,J140,0)</f>
        <v>0</v>
      </c>
      <c r="AD140" s="61">
        <v>21</v>
      </c>
      <c r="AE140" s="61">
        <f>G140*1</f>
        <v>0</v>
      </c>
      <c r="AF140" s="61">
        <f>G140*(1-1)</f>
        <v>0</v>
      </c>
      <c r="AG140" s="57" t="s">
        <v>13</v>
      </c>
      <c r="AM140" s="61">
        <f>F140*AE140</f>
        <v>0</v>
      </c>
      <c r="AN140" s="61">
        <f>F140*AF140</f>
        <v>0</v>
      </c>
      <c r="AO140" s="62" t="s">
        <v>477</v>
      </c>
      <c r="AP140" s="62" t="s">
        <v>491</v>
      </c>
      <c r="AQ140" s="50" t="s">
        <v>493</v>
      </c>
      <c r="AS140" s="61">
        <f>AM140+AN140</f>
        <v>0</v>
      </c>
      <c r="AT140" s="61">
        <f>G140/(100-AU140)*100</f>
        <v>0</v>
      </c>
      <c r="AU140" s="61">
        <v>0</v>
      </c>
      <c r="AV140" s="61">
        <f>L140</f>
        <v>0.6240916</v>
      </c>
    </row>
    <row r="141" spans="1:48" ht="12.75">
      <c r="A141" s="10" t="s">
        <v>93</v>
      </c>
      <c r="B141" s="10"/>
      <c r="C141" s="10" t="s">
        <v>222</v>
      </c>
      <c r="D141" s="10" t="s">
        <v>379</v>
      </c>
      <c r="E141" s="10" t="s">
        <v>426</v>
      </c>
      <c r="F141" s="34">
        <v>19.05</v>
      </c>
      <c r="G141" s="34">
        <v>0</v>
      </c>
      <c r="H141" s="34">
        <f>F141*AE141</f>
        <v>0</v>
      </c>
      <c r="I141" s="34">
        <f>J141-H141</f>
        <v>0</v>
      </c>
      <c r="J141" s="34">
        <f>F141*G141</f>
        <v>0</v>
      </c>
      <c r="K141" s="34">
        <v>0.00778</v>
      </c>
      <c r="L141" s="34">
        <f>F141*K141</f>
        <v>0.148209</v>
      </c>
      <c r="M141" s="56" t="s">
        <v>449</v>
      </c>
      <c r="P141" s="61">
        <f>IF(AG141="5",J141,0)</f>
        <v>0</v>
      </c>
      <c r="R141" s="61">
        <f>IF(AG141="1",H141,0)</f>
        <v>0</v>
      </c>
      <c r="S141" s="61">
        <f>IF(AG141="1",I141,0)</f>
        <v>0</v>
      </c>
      <c r="T141" s="61">
        <f>IF(AG141="7",H141,0)</f>
        <v>0</v>
      </c>
      <c r="U141" s="61">
        <f>IF(AG141="7",I141,0)</f>
        <v>0</v>
      </c>
      <c r="V141" s="61">
        <f>IF(AG141="2",H141,0)</f>
        <v>0</v>
      </c>
      <c r="W141" s="61">
        <f>IF(AG141="2",I141,0)</f>
        <v>0</v>
      </c>
      <c r="X141" s="61">
        <f>IF(AG141="0",J141,0)</f>
        <v>0</v>
      </c>
      <c r="Y141" s="50"/>
      <c r="Z141" s="34">
        <f>IF(AD141=0,J141,0)</f>
        <v>0</v>
      </c>
      <c r="AA141" s="34">
        <f>IF(AD141=15,J141,0)</f>
        <v>0</v>
      </c>
      <c r="AB141" s="34">
        <f>IF(AD141=21,J141,0)</f>
        <v>0</v>
      </c>
      <c r="AD141" s="61">
        <v>21</v>
      </c>
      <c r="AE141" s="61">
        <f>G141*0.0434402332361516</f>
        <v>0</v>
      </c>
      <c r="AF141" s="61">
        <f>G141*(1-0.0434402332361516)</f>
        <v>0</v>
      </c>
      <c r="AG141" s="56" t="s">
        <v>13</v>
      </c>
      <c r="AM141" s="61">
        <f>F141*AE141</f>
        <v>0</v>
      </c>
      <c r="AN141" s="61">
        <f>F141*AF141</f>
        <v>0</v>
      </c>
      <c r="AO141" s="62" t="s">
        <v>477</v>
      </c>
      <c r="AP141" s="62" t="s">
        <v>491</v>
      </c>
      <c r="AQ141" s="50" t="s">
        <v>493</v>
      </c>
      <c r="AS141" s="61">
        <f>AM141+AN141</f>
        <v>0</v>
      </c>
      <c r="AT141" s="61">
        <f>G141/(100-AU141)*100</f>
        <v>0</v>
      </c>
      <c r="AU141" s="61">
        <v>0</v>
      </c>
      <c r="AV141" s="61">
        <f>L141</f>
        <v>0.148209</v>
      </c>
    </row>
    <row r="142" ht="12.75">
      <c r="D142" s="28" t="s">
        <v>380</v>
      </c>
    </row>
    <row r="143" spans="1:48" ht="12.75">
      <c r="A143" s="10" t="s">
        <v>94</v>
      </c>
      <c r="B143" s="10"/>
      <c r="C143" s="10" t="s">
        <v>223</v>
      </c>
      <c r="D143" s="10" t="s">
        <v>381</v>
      </c>
      <c r="E143" s="10" t="s">
        <v>428</v>
      </c>
      <c r="F143" s="34">
        <v>11.20279</v>
      </c>
      <c r="G143" s="34">
        <v>0</v>
      </c>
      <c r="H143" s="34">
        <f>F143*AE143</f>
        <v>0</v>
      </c>
      <c r="I143" s="34">
        <f>J143-H143</f>
        <v>0</v>
      </c>
      <c r="J143" s="34">
        <f>F143*G143</f>
        <v>0</v>
      </c>
      <c r="K143" s="34">
        <v>0</v>
      </c>
      <c r="L143" s="34">
        <f>F143*K143</f>
        <v>0</v>
      </c>
      <c r="M143" s="56" t="s">
        <v>449</v>
      </c>
      <c r="P143" s="61">
        <f>IF(AG143="5",J143,0)</f>
        <v>0</v>
      </c>
      <c r="R143" s="61">
        <f>IF(AG143="1",H143,0)</f>
        <v>0</v>
      </c>
      <c r="S143" s="61">
        <f>IF(AG143="1",I143,0)</f>
        <v>0</v>
      </c>
      <c r="T143" s="61">
        <f>IF(AG143="7",H143,0)</f>
        <v>0</v>
      </c>
      <c r="U143" s="61">
        <f>IF(AG143="7",I143,0)</f>
        <v>0</v>
      </c>
      <c r="V143" s="61">
        <f>IF(AG143="2",H143,0)</f>
        <v>0</v>
      </c>
      <c r="W143" s="61">
        <f>IF(AG143="2",I143,0)</f>
        <v>0</v>
      </c>
      <c r="X143" s="61">
        <f>IF(AG143="0",J143,0)</f>
        <v>0</v>
      </c>
      <c r="Y143" s="50"/>
      <c r="Z143" s="34">
        <f>IF(AD143=0,J143,0)</f>
        <v>0</v>
      </c>
      <c r="AA143" s="34">
        <f>IF(AD143=15,J143,0)</f>
        <v>0</v>
      </c>
      <c r="AB143" s="34">
        <f>IF(AD143=21,J143,0)</f>
        <v>0</v>
      </c>
      <c r="AD143" s="61">
        <v>21</v>
      </c>
      <c r="AE143" s="61">
        <f>G143*0</f>
        <v>0</v>
      </c>
      <c r="AF143" s="61">
        <f>G143*(1-0)</f>
        <v>0</v>
      </c>
      <c r="AG143" s="56" t="s">
        <v>11</v>
      </c>
      <c r="AM143" s="61">
        <f>F143*AE143</f>
        <v>0</v>
      </c>
      <c r="AN143" s="61">
        <f>F143*AF143</f>
        <v>0</v>
      </c>
      <c r="AO143" s="62" t="s">
        <v>477</v>
      </c>
      <c r="AP143" s="62" t="s">
        <v>491</v>
      </c>
      <c r="AQ143" s="50" t="s">
        <v>493</v>
      </c>
      <c r="AS143" s="61">
        <f>AM143+AN143</f>
        <v>0</v>
      </c>
      <c r="AT143" s="61">
        <f>G143/(100-AU143)*100</f>
        <v>0</v>
      </c>
      <c r="AU143" s="61">
        <v>0</v>
      </c>
      <c r="AV143" s="61">
        <f>L143</f>
        <v>0</v>
      </c>
    </row>
    <row r="144" spans="1:37" ht="12.75">
      <c r="A144" s="11"/>
      <c r="B144" s="24"/>
      <c r="C144" s="24" t="s">
        <v>224</v>
      </c>
      <c r="D144" s="24" t="s">
        <v>382</v>
      </c>
      <c r="E144" s="32"/>
      <c r="F144" s="32"/>
      <c r="G144" s="32"/>
      <c r="H144" s="64">
        <f>SUM(H145:H146)</f>
        <v>0</v>
      </c>
      <c r="I144" s="64">
        <f>SUM(I145:I146)</f>
        <v>0</v>
      </c>
      <c r="J144" s="64">
        <f>H144+I144</f>
        <v>0</v>
      </c>
      <c r="K144" s="50"/>
      <c r="L144" s="64">
        <f>SUM(L145:L146)</f>
        <v>0.25138499999999997</v>
      </c>
      <c r="M144" s="50"/>
      <c r="Y144" s="50"/>
      <c r="AI144" s="64">
        <f>SUM(Z145:Z146)</f>
        <v>0</v>
      </c>
      <c r="AJ144" s="64">
        <f>SUM(AA145:AA146)</f>
        <v>0</v>
      </c>
      <c r="AK144" s="64">
        <f>SUM(AB145:AB146)</f>
        <v>0</v>
      </c>
    </row>
    <row r="145" spans="1:48" ht="12.75">
      <c r="A145" s="10" t="s">
        <v>95</v>
      </c>
      <c r="B145" s="10"/>
      <c r="C145" s="10" t="s">
        <v>225</v>
      </c>
      <c r="D145" s="10" t="s">
        <v>383</v>
      </c>
      <c r="E145" s="10" t="s">
        <v>429</v>
      </c>
      <c r="F145" s="34">
        <v>1675.9</v>
      </c>
      <c r="G145" s="34">
        <v>0</v>
      </c>
      <c r="H145" s="34">
        <f>F145*AE145</f>
        <v>0</v>
      </c>
      <c r="I145" s="34">
        <f>J145-H145</f>
        <v>0</v>
      </c>
      <c r="J145" s="34">
        <f>F145*G145</f>
        <v>0</v>
      </c>
      <c r="K145" s="34">
        <v>0.00015</v>
      </c>
      <c r="L145" s="34">
        <f>F145*K145</f>
        <v>0.25138499999999997</v>
      </c>
      <c r="M145" s="56" t="s">
        <v>449</v>
      </c>
      <c r="P145" s="61">
        <f>IF(AG145="5",J145,0)</f>
        <v>0</v>
      </c>
      <c r="R145" s="61">
        <f>IF(AG145="1",H145,0)</f>
        <v>0</v>
      </c>
      <c r="S145" s="61">
        <f>IF(AG145="1",I145,0)</f>
        <v>0</v>
      </c>
      <c r="T145" s="61">
        <f>IF(AG145="7",H145,0)</f>
        <v>0</v>
      </c>
      <c r="U145" s="61">
        <f>IF(AG145="7",I145,0)</f>
        <v>0</v>
      </c>
      <c r="V145" s="61">
        <f>IF(AG145="2",H145,0)</f>
        <v>0</v>
      </c>
      <c r="W145" s="61">
        <f>IF(AG145="2",I145,0)</f>
        <v>0</v>
      </c>
      <c r="X145" s="61">
        <f>IF(AG145="0",J145,0)</f>
        <v>0</v>
      </c>
      <c r="Y145" s="50"/>
      <c r="Z145" s="34">
        <f>IF(AD145=0,J145,0)</f>
        <v>0</v>
      </c>
      <c r="AA145" s="34">
        <f>IF(AD145=15,J145,0)</f>
        <v>0</v>
      </c>
      <c r="AB145" s="34">
        <f>IF(AD145=21,J145,0)</f>
        <v>0</v>
      </c>
      <c r="AD145" s="61">
        <v>21</v>
      </c>
      <c r="AE145" s="61">
        <f>G145*0.105507246376812</f>
        <v>0</v>
      </c>
      <c r="AF145" s="61">
        <f>G145*(1-0.105507246376812)</f>
        <v>0</v>
      </c>
      <c r="AG145" s="56" t="s">
        <v>13</v>
      </c>
      <c r="AM145" s="61">
        <f>F145*AE145</f>
        <v>0</v>
      </c>
      <c r="AN145" s="61">
        <f>F145*AF145</f>
        <v>0</v>
      </c>
      <c r="AO145" s="62" t="s">
        <v>478</v>
      </c>
      <c r="AP145" s="62" t="s">
        <v>491</v>
      </c>
      <c r="AQ145" s="50" t="s">
        <v>493</v>
      </c>
      <c r="AS145" s="61">
        <f>AM145+AN145</f>
        <v>0</v>
      </c>
      <c r="AT145" s="61">
        <f>G145/(100-AU145)*100</f>
        <v>0</v>
      </c>
      <c r="AU145" s="61">
        <v>0</v>
      </c>
      <c r="AV145" s="61">
        <f>L145</f>
        <v>0.25138499999999997</v>
      </c>
    </row>
    <row r="146" spans="1:48" ht="12.75">
      <c r="A146" s="10" t="s">
        <v>96</v>
      </c>
      <c r="B146" s="10"/>
      <c r="C146" s="10" t="s">
        <v>226</v>
      </c>
      <c r="D146" s="10" t="s">
        <v>384</v>
      </c>
      <c r="E146" s="10" t="s">
        <v>429</v>
      </c>
      <c r="F146" s="34">
        <v>104.14</v>
      </c>
      <c r="G146" s="34">
        <v>0</v>
      </c>
      <c r="H146" s="34">
        <f>F146*AE146</f>
        <v>0</v>
      </c>
      <c r="I146" s="34">
        <f>J146-H146</f>
        <v>0</v>
      </c>
      <c r="J146" s="34">
        <f>F146*G146</f>
        <v>0</v>
      </c>
      <c r="K146" s="34">
        <v>0</v>
      </c>
      <c r="L146" s="34">
        <f>F146*K146</f>
        <v>0</v>
      </c>
      <c r="M146" s="56" t="s">
        <v>449</v>
      </c>
      <c r="P146" s="61">
        <f>IF(AG146="5",J146,0)</f>
        <v>0</v>
      </c>
      <c r="R146" s="61">
        <f>IF(AG146="1",H146,0)</f>
        <v>0</v>
      </c>
      <c r="S146" s="61">
        <f>IF(AG146="1",I146,0)</f>
        <v>0</v>
      </c>
      <c r="T146" s="61">
        <f>IF(AG146="7",H146,0)</f>
        <v>0</v>
      </c>
      <c r="U146" s="61">
        <f>IF(AG146="7",I146,0)</f>
        <v>0</v>
      </c>
      <c r="V146" s="61">
        <f>IF(AG146="2",H146,0)</f>
        <v>0</v>
      </c>
      <c r="W146" s="61">
        <f>IF(AG146="2",I146,0)</f>
        <v>0</v>
      </c>
      <c r="X146" s="61">
        <f>IF(AG146="0",J146,0)</f>
        <v>0</v>
      </c>
      <c r="Y146" s="50"/>
      <c r="Z146" s="34">
        <f>IF(AD146=0,J146,0)</f>
        <v>0</v>
      </c>
      <c r="AA146" s="34">
        <f>IF(AD146=15,J146,0)</f>
        <v>0</v>
      </c>
      <c r="AB146" s="34">
        <f>IF(AD146=21,J146,0)</f>
        <v>0</v>
      </c>
      <c r="AD146" s="61">
        <v>21</v>
      </c>
      <c r="AE146" s="61">
        <f>G146*0.00377536573855592</f>
        <v>0</v>
      </c>
      <c r="AF146" s="61">
        <f>G146*(1-0.00377536573855592)</f>
        <v>0</v>
      </c>
      <c r="AG146" s="56" t="s">
        <v>13</v>
      </c>
      <c r="AM146" s="61">
        <f>F146*AE146</f>
        <v>0</v>
      </c>
      <c r="AN146" s="61">
        <f>F146*AF146</f>
        <v>0</v>
      </c>
      <c r="AO146" s="62" t="s">
        <v>478</v>
      </c>
      <c r="AP146" s="62" t="s">
        <v>491</v>
      </c>
      <c r="AQ146" s="50" t="s">
        <v>493</v>
      </c>
      <c r="AS146" s="61">
        <f>AM146+AN146</f>
        <v>0</v>
      </c>
      <c r="AT146" s="61">
        <f>G146/(100-AU146)*100</f>
        <v>0</v>
      </c>
      <c r="AU146" s="61">
        <v>0</v>
      </c>
      <c r="AV146" s="61">
        <f>L146</f>
        <v>0</v>
      </c>
    </row>
    <row r="147" ht="12.75">
      <c r="D147" s="28" t="s">
        <v>385</v>
      </c>
    </row>
    <row r="148" spans="1:37" ht="12.75">
      <c r="A148" s="11"/>
      <c r="B148" s="24"/>
      <c r="C148" s="24" t="s">
        <v>102</v>
      </c>
      <c r="D148" s="24" t="s">
        <v>386</v>
      </c>
      <c r="E148" s="32"/>
      <c r="F148" s="32"/>
      <c r="G148" s="32"/>
      <c r="H148" s="64">
        <f>SUM(H149:H157)</f>
        <v>0</v>
      </c>
      <c r="I148" s="64">
        <f>SUM(I149:I157)</f>
        <v>0</v>
      </c>
      <c r="J148" s="64">
        <f>H148+I148</f>
        <v>0</v>
      </c>
      <c r="K148" s="50"/>
      <c r="L148" s="64">
        <f>SUM(L149:L157)</f>
        <v>107.75759540000001</v>
      </c>
      <c r="M148" s="50"/>
      <c r="Y148" s="50"/>
      <c r="AI148" s="64">
        <f>SUM(Z149:Z157)</f>
        <v>0</v>
      </c>
      <c r="AJ148" s="64">
        <f>SUM(AA149:AA157)</f>
        <v>0</v>
      </c>
      <c r="AK148" s="64">
        <f>SUM(AB149:AB157)</f>
        <v>0</v>
      </c>
    </row>
    <row r="149" spans="1:48" ht="12.75">
      <c r="A149" s="10" t="s">
        <v>97</v>
      </c>
      <c r="B149" s="10"/>
      <c r="C149" s="10" t="s">
        <v>227</v>
      </c>
      <c r="D149" s="10" t="s">
        <v>387</v>
      </c>
      <c r="E149" s="10" t="s">
        <v>429</v>
      </c>
      <c r="F149" s="34">
        <v>609.08</v>
      </c>
      <c r="G149" s="34">
        <v>0</v>
      </c>
      <c r="H149" s="34">
        <f>F149*AE149</f>
        <v>0</v>
      </c>
      <c r="I149" s="34">
        <f>J149-H149</f>
        <v>0</v>
      </c>
      <c r="J149" s="34">
        <f>F149*G149</f>
        <v>0</v>
      </c>
      <c r="K149" s="34">
        <v>0.13167</v>
      </c>
      <c r="L149" s="34">
        <f>F149*K149</f>
        <v>80.19756360000001</v>
      </c>
      <c r="M149" s="56" t="s">
        <v>449</v>
      </c>
      <c r="P149" s="61">
        <f>IF(AG149="5",J149,0)</f>
        <v>0</v>
      </c>
      <c r="R149" s="61">
        <f>IF(AG149="1",H149,0)</f>
        <v>0</v>
      </c>
      <c r="S149" s="61">
        <f>IF(AG149="1",I149,0)</f>
        <v>0</v>
      </c>
      <c r="T149" s="61">
        <f>IF(AG149="7",H149,0)</f>
        <v>0</v>
      </c>
      <c r="U149" s="61">
        <f>IF(AG149="7",I149,0)</f>
        <v>0</v>
      </c>
      <c r="V149" s="61">
        <f>IF(AG149="2",H149,0)</f>
        <v>0</v>
      </c>
      <c r="W149" s="61">
        <f>IF(AG149="2",I149,0)</f>
        <v>0</v>
      </c>
      <c r="X149" s="61">
        <f>IF(AG149="0",J149,0)</f>
        <v>0</v>
      </c>
      <c r="Y149" s="50"/>
      <c r="Z149" s="34">
        <f>IF(AD149=0,J149,0)</f>
        <v>0</v>
      </c>
      <c r="AA149" s="34">
        <f>IF(AD149=15,J149,0)</f>
        <v>0</v>
      </c>
      <c r="AB149" s="34">
        <f>IF(AD149=21,J149,0)</f>
        <v>0</v>
      </c>
      <c r="AD149" s="61">
        <v>21</v>
      </c>
      <c r="AE149" s="61">
        <f>G149*0.189247311827957</f>
        <v>0</v>
      </c>
      <c r="AF149" s="61">
        <f>G149*(1-0.189247311827957)</f>
        <v>0</v>
      </c>
      <c r="AG149" s="56" t="s">
        <v>7</v>
      </c>
      <c r="AM149" s="61">
        <f>F149*AE149</f>
        <v>0</v>
      </c>
      <c r="AN149" s="61">
        <f>F149*AF149</f>
        <v>0</v>
      </c>
      <c r="AO149" s="62" t="s">
        <v>479</v>
      </c>
      <c r="AP149" s="62" t="s">
        <v>492</v>
      </c>
      <c r="AQ149" s="50" t="s">
        <v>493</v>
      </c>
      <c r="AS149" s="61">
        <f>AM149+AN149</f>
        <v>0</v>
      </c>
      <c r="AT149" s="61">
        <f>G149/(100-AU149)*100</f>
        <v>0</v>
      </c>
      <c r="AU149" s="61">
        <v>0</v>
      </c>
      <c r="AV149" s="61">
        <f>L149</f>
        <v>80.19756360000001</v>
      </c>
    </row>
    <row r="150" spans="1:48" ht="12.75">
      <c r="A150" s="10" t="s">
        <v>98</v>
      </c>
      <c r="B150" s="10"/>
      <c r="C150" s="10" t="s">
        <v>228</v>
      </c>
      <c r="D150" s="10" t="s">
        <v>388</v>
      </c>
      <c r="E150" s="10" t="s">
        <v>427</v>
      </c>
      <c r="F150" s="34">
        <v>4.15</v>
      </c>
      <c r="G150" s="34">
        <v>0</v>
      </c>
      <c r="H150" s="34">
        <f>F150*AE150</f>
        <v>0</v>
      </c>
      <c r="I150" s="34">
        <f>J150-H150</f>
        <v>0</v>
      </c>
      <c r="J150" s="34">
        <f>F150*G150</f>
        <v>0</v>
      </c>
      <c r="K150" s="34">
        <v>1.80128</v>
      </c>
      <c r="L150" s="34">
        <f>F150*K150</f>
        <v>7.475312000000001</v>
      </c>
      <c r="M150" s="56" t="s">
        <v>449</v>
      </c>
      <c r="P150" s="61">
        <f>IF(AG150="5",J150,0)</f>
        <v>0</v>
      </c>
      <c r="R150" s="61">
        <f>IF(AG150="1",H150,0)</f>
        <v>0</v>
      </c>
      <c r="S150" s="61">
        <f>IF(AG150="1",I150,0)</f>
        <v>0</v>
      </c>
      <c r="T150" s="61">
        <f>IF(AG150="7",H150,0)</f>
        <v>0</v>
      </c>
      <c r="U150" s="61">
        <f>IF(AG150="7",I150,0)</f>
        <v>0</v>
      </c>
      <c r="V150" s="61">
        <f>IF(AG150="2",H150,0)</f>
        <v>0</v>
      </c>
      <c r="W150" s="61">
        <f>IF(AG150="2",I150,0)</f>
        <v>0</v>
      </c>
      <c r="X150" s="61">
        <f>IF(AG150="0",J150,0)</f>
        <v>0</v>
      </c>
      <c r="Y150" s="50"/>
      <c r="Z150" s="34">
        <f>IF(AD150=0,J150,0)</f>
        <v>0</v>
      </c>
      <c r="AA150" s="34">
        <f>IF(AD150=15,J150,0)</f>
        <v>0</v>
      </c>
      <c r="AB150" s="34">
        <f>IF(AD150=21,J150,0)</f>
        <v>0</v>
      </c>
      <c r="AD150" s="61">
        <v>21</v>
      </c>
      <c r="AE150" s="61">
        <f>G150*0.0510234899328859</f>
        <v>0</v>
      </c>
      <c r="AF150" s="61">
        <f>G150*(1-0.0510234899328859)</f>
        <v>0</v>
      </c>
      <c r="AG150" s="56" t="s">
        <v>7</v>
      </c>
      <c r="AM150" s="61">
        <f>F150*AE150</f>
        <v>0</v>
      </c>
      <c r="AN150" s="61">
        <f>F150*AF150</f>
        <v>0</v>
      </c>
      <c r="AO150" s="62" t="s">
        <v>479</v>
      </c>
      <c r="AP150" s="62" t="s">
        <v>492</v>
      </c>
      <c r="AQ150" s="50" t="s">
        <v>493</v>
      </c>
      <c r="AS150" s="61">
        <f>AM150+AN150</f>
        <v>0</v>
      </c>
      <c r="AT150" s="61">
        <f>G150/(100-AU150)*100</f>
        <v>0</v>
      </c>
      <c r="AU150" s="61">
        <v>0</v>
      </c>
      <c r="AV150" s="61">
        <f>L150</f>
        <v>7.475312000000001</v>
      </c>
    </row>
    <row r="151" spans="1:48" ht="12.75">
      <c r="A151" s="10" t="s">
        <v>99</v>
      </c>
      <c r="B151" s="10"/>
      <c r="C151" s="10" t="s">
        <v>229</v>
      </c>
      <c r="D151" s="10" t="s">
        <v>389</v>
      </c>
      <c r="E151" s="10" t="s">
        <v>429</v>
      </c>
      <c r="F151" s="34">
        <v>195.35</v>
      </c>
      <c r="G151" s="34">
        <v>0</v>
      </c>
      <c r="H151" s="34">
        <f>F151*AE151</f>
        <v>0</v>
      </c>
      <c r="I151" s="34">
        <f>J151-H151</f>
        <v>0</v>
      </c>
      <c r="J151" s="34">
        <f>F151*G151</f>
        <v>0</v>
      </c>
      <c r="K151" s="34">
        <v>0.065</v>
      </c>
      <c r="L151" s="34">
        <f>F151*K151</f>
        <v>12.69775</v>
      </c>
      <c r="M151" s="56" t="s">
        <v>449</v>
      </c>
      <c r="P151" s="61">
        <f>IF(AG151="5",J151,0)</f>
        <v>0</v>
      </c>
      <c r="R151" s="61">
        <f>IF(AG151="1",H151,0)</f>
        <v>0</v>
      </c>
      <c r="S151" s="61">
        <f>IF(AG151="1",I151,0)</f>
        <v>0</v>
      </c>
      <c r="T151" s="61">
        <f>IF(AG151="7",H151,0)</f>
        <v>0</v>
      </c>
      <c r="U151" s="61">
        <f>IF(AG151="7",I151,0)</f>
        <v>0</v>
      </c>
      <c r="V151" s="61">
        <f>IF(AG151="2",H151,0)</f>
        <v>0</v>
      </c>
      <c r="W151" s="61">
        <f>IF(AG151="2",I151,0)</f>
        <v>0</v>
      </c>
      <c r="X151" s="61">
        <f>IF(AG151="0",J151,0)</f>
        <v>0</v>
      </c>
      <c r="Y151" s="50"/>
      <c r="Z151" s="34">
        <f>IF(AD151=0,J151,0)</f>
        <v>0</v>
      </c>
      <c r="AA151" s="34">
        <f>IF(AD151=15,J151,0)</f>
        <v>0</v>
      </c>
      <c r="AB151" s="34">
        <f>IF(AD151=21,J151,0)</f>
        <v>0</v>
      </c>
      <c r="AD151" s="61">
        <v>21</v>
      </c>
      <c r="AE151" s="61">
        <f>G151*0</f>
        <v>0</v>
      </c>
      <c r="AF151" s="61">
        <f>G151*(1-0)</f>
        <v>0</v>
      </c>
      <c r="AG151" s="56" t="s">
        <v>7</v>
      </c>
      <c r="AM151" s="61">
        <f>F151*AE151</f>
        <v>0</v>
      </c>
      <c r="AN151" s="61">
        <f>F151*AF151</f>
        <v>0</v>
      </c>
      <c r="AO151" s="62" t="s">
        <v>479</v>
      </c>
      <c r="AP151" s="62" t="s">
        <v>492</v>
      </c>
      <c r="AQ151" s="50" t="s">
        <v>493</v>
      </c>
      <c r="AS151" s="61">
        <f>AM151+AN151</f>
        <v>0</v>
      </c>
      <c r="AT151" s="61">
        <f>G151/(100-AU151)*100</f>
        <v>0</v>
      </c>
      <c r="AU151" s="61">
        <v>0</v>
      </c>
      <c r="AV151" s="61">
        <f>L151</f>
        <v>12.69775</v>
      </c>
    </row>
    <row r="152" ht="12.75">
      <c r="D152" s="28" t="s">
        <v>390</v>
      </c>
    </row>
    <row r="153" spans="1:48" ht="12.75">
      <c r="A153" s="10" t="s">
        <v>100</v>
      </c>
      <c r="B153" s="10"/>
      <c r="C153" s="10" t="s">
        <v>230</v>
      </c>
      <c r="D153" s="10" t="s">
        <v>391</v>
      </c>
      <c r="E153" s="10" t="s">
        <v>429</v>
      </c>
      <c r="F153" s="34">
        <v>1.42</v>
      </c>
      <c r="G153" s="34">
        <v>0</v>
      </c>
      <c r="H153" s="34">
        <f>F153*AE153</f>
        <v>0</v>
      </c>
      <c r="I153" s="34">
        <f>J153-H153</f>
        <v>0</v>
      </c>
      <c r="J153" s="34">
        <f>F153*G153</f>
        <v>0</v>
      </c>
      <c r="K153" s="34">
        <v>0.07719</v>
      </c>
      <c r="L153" s="34">
        <f>F153*K153</f>
        <v>0.1096098</v>
      </c>
      <c r="M153" s="56" t="s">
        <v>449</v>
      </c>
      <c r="P153" s="61">
        <f>IF(AG153="5",J153,0)</f>
        <v>0</v>
      </c>
      <c r="R153" s="61">
        <f>IF(AG153="1",H153,0)</f>
        <v>0</v>
      </c>
      <c r="S153" s="61">
        <f>IF(AG153="1",I153,0)</f>
        <v>0</v>
      </c>
      <c r="T153" s="61">
        <f>IF(AG153="7",H153,0)</f>
        <v>0</v>
      </c>
      <c r="U153" s="61">
        <f>IF(AG153="7",I153,0)</f>
        <v>0</v>
      </c>
      <c r="V153" s="61">
        <f>IF(AG153="2",H153,0)</f>
        <v>0</v>
      </c>
      <c r="W153" s="61">
        <f>IF(AG153="2",I153,0)</f>
        <v>0</v>
      </c>
      <c r="X153" s="61">
        <f>IF(AG153="0",J153,0)</f>
        <v>0</v>
      </c>
      <c r="Y153" s="50"/>
      <c r="Z153" s="34">
        <f>IF(AD153=0,J153,0)</f>
        <v>0</v>
      </c>
      <c r="AA153" s="34">
        <f>IF(AD153=15,J153,0)</f>
        <v>0</v>
      </c>
      <c r="AB153" s="34">
        <f>IF(AD153=21,J153,0)</f>
        <v>0</v>
      </c>
      <c r="AD153" s="61">
        <v>21</v>
      </c>
      <c r="AE153" s="61">
        <f>G153*0.183809289059474</f>
        <v>0</v>
      </c>
      <c r="AF153" s="61">
        <f>G153*(1-0.183809289059474)</f>
        <v>0</v>
      </c>
      <c r="AG153" s="56" t="s">
        <v>7</v>
      </c>
      <c r="AM153" s="61">
        <f>F153*AE153</f>
        <v>0</v>
      </c>
      <c r="AN153" s="61">
        <f>F153*AF153</f>
        <v>0</v>
      </c>
      <c r="AO153" s="62" t="s">
        <v>479</v>
      </c>
      <c r="AP153" s="62" t="s">
        <v>492</v>
      </c>
      <c r="AQ153" s="50" t="s">
        <v>493</v>
      </c>
      <c r="AS153" s="61">
        <f>AM153+AN153</f>
        <v>0</v>
      </c>
      <c r="AT153" s="61">
        <f>G153/(100-AU153)*100</f>
        <v>0</v>
      </c>
      <c r="AU153" s="61">
        <v>0</v>
      </c>
      <c r="AV153" s="61">
        <f>L153</f>
        <v>0.1096098</v>
      </c>
    </row>
    <row r="154" spans="1:48" ht="12.75">
      <c r="A154" s="10" t="s">
        <v>101</v>
      </c>
      <c r="B154" s="10"/>
      <c r="C154" s="10" t="s">
        <v>231</v>
      </c>
      <c r="D154" s="10" t="s">
        <v>392</v>
      </c>
      <c r="E154" s="10" t="s">
        <v>429</v>
      </c>
      <c r="F154" s="34">
        <v>107.02</v>
      </c>
      <c r="G154" s="34">
        <v>0</v>
      </c>
      <c r="H154" s="34">
        <f>F154*AE154</f>
        <v>0</v>
      </c>
      <c r="I154" s="34">
        <f>J154-H154</f>
        <v>0</v>
      </c>
      <c r="J154" s="34">
        <f>F154*G154</f>
        <v>0</v>
      </c>
      <c r="K154" s="34">
        <v>0.068</v>
      </c>
      <c r="L154" s="34">
        <f>F154*K154</f>
        <v>7.27736</v>
      </c>
      <c r="M154" s="56" t="s">
        <v>449</v>
      </c>
      <c r="P154" s="61">
        <f>IF(AG154="5",J154,0)</f>
        <v>0</v>
      </c>
      <c r="R154" s="61">
        <f>IF(AG154="1",H154,0)</f>
        <v>0</v>
      </c>
      <c r="S154" s="61">
        <f>IF(AG154="1",I154,0)</f>
        <v>0</v>
      </c>
      <c r="T154" s="61">
        <f>IF(AG154="7",H154,0)</f>
        <v>0</v>
      </c>
      <c r="U154" s="61">
        <f>IF(AG154="7",I154,0)</f>
        <v>0</v>
      </c>
      <c r="V154" s="61">
        <f>IF(AG154="2",H154,0)</f>
        <v>0</v>
      </c>
      <c r="W154" s="61">
        <f>IF(AG154="2",I154,0)</f>
        <v>0</v>
      </c>
      <c r="X154" s="61">
        <f>IF(AG154="0",J154,0)</f>
        <v>0</v>
      </c>
      <c r="Y154" s="50"/>
      <c r="Z154" s="34">
        <f>IF(AD154=0,J154,0)</f>
        <v>0</v>
      </c>
      <c r="AA154" s="34">
        <f>IF(AD154=15,J154,0)</f>
        <v>0</v>
      </c>
      <c r="AB154" s="34">
        <f>IF(AD154=21,J154,0)</f>
        <v>0</v>
      </c>
      <c r="AD154" s="61">
        <v>21</v>
      </c>
      <c r="AE154" s="61">
        <f>G154*0.156131147540984</f>
        <v>0</v>
      </c>
      <c r="AF154" s="61">
        <f>G154*(1-0.156131147540984)</f>
        <v>0</v>
      </c>
      <c r="AG154" s="56" t="s">
        <v>7</v>
      </c>
      <c r="AM154" s="61">
        <f>F154*AE154</f>
        <v>0</v>
      </c>
      <c r="AN154" s="61">
        <f>F154*AF154</f>
        <v>0</v>
      </c>
      <c r="AO154" s="62" t="s">
        <v>479</v>
      </c>
      <c r="AP154" s="62" t="s">
        <v>492</v>
      </c>
      <c r="AQ154" s="50" t="s">
        <v>493</v>
      </c>
      <c r="AS154" s="61">
        <f>AM154+AN154</f>
        <v>0</v>
      </c>
      <c r="AT154" s="61">
        <f>G154/(100-AU154)*100</f>
        <v>0</v>
      </c>
      <c r="AU154" s="61">
        <v>0</v>
      </c>
      <c r="AV154" s="61">
        <f>L154</f>
        <v>7.27736</v>
      </c>
    </row>
    <row r="155" spans="1:48" ht="12.75">
      <c r="A155" s="10" t="s">
        <v>102</v>
      </c>
      <c r="B155" s="10"/>
      <c r="C155" s="10" t="s">
        <v>232</v>
      </c>
      <c r="D155" s="10" t="s">
        <v>393</v>
      </c>
      <c r="E155" s="10" t="s">
        <v>426</v>
      </c>
      <c r="F155" s="34">
        <v>7.5</v>
      </c>
      <c r="G155" s="34">
        <v>0</v>
      </c>
      <c r="H155" s="34">
        <f>F155*AE155</f>
        <v>0</v>
      </c>
      <c r="I155" s="34">
        <f>J155-H155</f>
        <v>0</v>
      </c>
      <c r="J155" s="34">
        <f>F155*G155</f>
        <v>0</v>
      </c>
      <c r="K155" s="34">
        <v>0</v>
      </c>
      <c r="L155" s="34">
        <f>F155*K155</f>
        <v>0</v>
      </c>
      <c r="M155" s="56" t="s">
        <v>449</v>
      </c>
      <c r="P155" s="61">
        <f>IF(AG155="5",J155,0)</f>
        <v>0</v>
      </c>
      <c r="R155" s="61">
        <f>IF(AG155="1",H155,0)</f>
        <v>0</v>
      </c>
      <c r="S155" s="61">
        <f>IF(AG155="1",I155,0)</f>
        <v>0</v>
      </c>
      <c r="T155" s="61">
        <f>IF(AG155="7",H155,0)</f>
        <v>0</v>
      </c>
      <c r="U155" s="61">
        <f>IF(AG155="7",I155,0)</f>
        <v>0</v>
      </c>
      <c r="V155" s="61">
        <f>IF(AG155="2",H155,0)</f>
        <v>0</v>
      </c>
      <c r="W155" s="61">
        <f>IF(AG155="2",I155,0)</f>
        <v>0</v>
      </c>
      <c r="X155" s="61">
        <f>IF(AG155="0",J155,0)</f>
        <v>0</v>
      </c>
      <c r="Y155" s="50"/>
      <c r="Z155" s="34">
        <f>IF(AD155=0,J155,0)</f>
        <v>0</v>
      </c>
      <c r="AA155" s="34">
        <f>IF(AD155=15,J155,0)</f>
        <v>0</v>
      </c>
      <c r="AB155" s="34">
        <f>IF(AD155=21,J155,0)</f>
        <v>0</v>
      </c>
      <c r="AD155" s="61">
        <v>21</v>
      </c>
      <c r="AE155" s="61">
        <f>G155*0</f>
        <v>0</v>
      </c>
      <c r="AF155" s="61">
        <f>G155*(1-0)</f>
        <v>0</v>
      </c>
      <c r="AG155" s="56" t="s">
        <v>7</v>
      </c>
      <c r="AM155" s="61">
        <f>F155*AE155</f>
        <v>0</v>
      </c>
      <c r="AN155" s="61">
        <f>F155*AF155</f>
        <v>0</v>
      </c>
      <c r="AO155" s="62" t="s">
        <v>479</v>
      </c>
      <c r="AP155" s="62" t="s">
        <v>492</v>
      </c>
      <c r="AQ155" s="50" t="s">
        <v>493</v>
      </c>
      <c r="AS155" s="61">
        <f>AM155+AN155</f>
        <v>0</v>
      </c>
      <c r="AT155" s="61">
        <f>G155/(100-AU155)*100</f>
        <v>0</v>
      </c>
      <c r="AU155" s="61">
        <v>0</v>
      </c>
      <c r="AV155" s="61">
        <f>L155</f>
        <v>0</v>
      </c>
    </row>
    <row r="156" spans="1:48" ht="12.75">
      <c r="A156" s="10" t="s">
        <v>103</v>
      </c>
      <c r="B156" s="10"/>
      <c r="C156" s="10" t="s">
        <v>233</v>
      </c>
      <c r="D156" s="10" t="s">
        <v>394</v>
      </c>
      <c r="E156" s="10" t="s">
        <v>428</v>
      </c>
      <c r="F156" s="34">
        <v>107.7576</v>
      </c>
      <c r="G156" s="34">
        <v>0</v>
      </c>
      <c r="H156" s="34">
        <f>F156*AE156</f>
        <v>0</v>
      </c>
      <c r="I156" s="34">
        <f>J156-H156</f>
        <v>0</v>
      </c>
      <c r="J156" s="34">
        <f>F156*G156</f>
        <v>0</v>
      </c>
      <c r="K156" s="34">
        <v>0</v>
      </c>
      <c r="L156" s="34">
        <f>F156*K156</f>
        <v>0</v>
      </c>
      <c r="M156" s="56" t="s">
        <v>449</v>
      </c>
      <c r="P156" s="61">
        <f>IF(AG156="5",J156,0)</f>
        <v>0</v>
      </c>
      <c r="R156" s="61">
        <f>IF(AG156="1",H156,0)</f>
        <v>0</v>
      </c>
      <c r="S156" s="61">
        <f>IF(AG156="1",I156,0)</f>
        <v>0</v>
      </c>
      <c r="T156" s="61">
        <f>IF(AG156="7",H156,0)</f>
        <v>0</v>
      </c>
      <c r="U156" s="61">
        <f>IF(AG156="7",I156,0)</f>
        <v>0</v>
      </c>
      <c r="V156" s="61">
        <f>IF(AG156="2",H156,0)</f>
        <v>0</v>
      </c>
      <c r="W156" s="61">
        <f>IF(AG156="2",I156,0)</f>
        <v>0</v>
      </c>
      <c r="X156" s="61">
        <f>IF(AG156="0",J156,0)</f>
        <v>0</v>
      </c>
      <c r="Y156" s="50"/>
      <c r="Z156" s="34">
        <f>IF(AD156=0,J156,0)</f>
        <v>0</v>
      </c>
      <c r="AA156" s="34">
        <f>IF(AD156=15,J156,0)</f>
        <v>0</v>
      </c>
      <c r="AB156" s="34">
        <f>IF(AD156=21,J156,0)</f>
        <v>0</v>
      </c>
      <c r="AD156" s="61">
        <v>21</v>
      </c>
      <c r="AE156" s="61">
        <f>G156*0</f>
        <v>0</v>
      </c>
      <c r="AF156" s="61">
        <f>G156*(1-0)</f>
        <v>0</v>
      </c>
      <c r="AG156" s="56" t="s">
        <v>11</v>
      </c>
      <c r="AM156" s="61">
        <f>F156*AE156</f>
        <v>0</v>
      </c>
      <c r="AN156" s="61">
        <f>F156*AF156</f>
        <v>0</v>
      </c>
      <c r="AO156" s="62" t="s">
        <v>479</v>
      </c>
      <c r="AP156" s="62" t="s">
        <v>492</v>
      </c>
      <c r="AQ156" s="50" t="s">
        <v>493</v>
      </c>
      <c r="AS156" s="61">
        <f>AM156+AN156</f>
        <v>0</v>
      </c>
      <c r="AT156" s="61">
        <f>G156/(100-AU156)*100</f>
        <v>0</v>
      </c>
      <c r="AU156" s="61">
        <v>0</v>
      </c>
      <c r="AV156" s="61">
        <f>L156</f>
        <v>0</v>
      </c>
    </row>
    <row r="157" spans="1:48" ht="12.75">
      <c r="A157" s="10" t="s">
        <v>104</v>
      </c>
      <c r="B157" s="10"/>
      <c r="C157" s="10" t="s">
        <v>234</v>
      </c>
      <c r="D157" s="10" t="s">
        <v>395</v>
      </c>
      <c r="E157" s="10" t="s">
        <v>428</v>
      </c>
      <c r="F157" s="34">
        <v>538.79</v>
      </c>
      <c r="G157" s="34">
        <v>0</v>
      </c>
      <c r="H157" s="34">
        <f>F157*AE157</f>
        <v>0</v>
      </c>
      <c r="I157" s="34">
        <f>J157-H157</f>
        <v>0</v>
      </c>
      <c r="J157" s="34">
        <f>F157*G157</f>
        <v>0</v>
      </c>
      <c r="K157" s="34">
        <v>0</v>
      </c>
      <c r="L157" s="34">
        <f>F157*K157</f>
        <v>0</v>
      </c>
      <c r="M157" s="56" t="s">
        <v>449</v>
      </c>
      <c r="P157" s="61">
        <f>IF(AG157="5",J157,0)</f>
        <v>0</v>
      </c>
      <c r="R157" s="61">
        <f>IF(AG157="1",H157,0)</f>
        <v>0</v>
      </c>
      <c r="S157" s="61">
        <f>IF(AG157="1",I157,0)</f>
        <v>0</v>
      </c>
      <c r="T157" s="61">
        <f>IF(AG157="7",H157,0)</f>
        <v>0</v>
      </c>
      <c r="U157" s="61">
        <f>IF(AG157="7",I157,0)</f>
        <v>0</v>
      </c>
      <c r="V157" s="61">
        <f>IF(AG157="2",H157,0)</f>
        <v>0</v>
      </c>
      <c r="W157" s="61">
        <f>IF(AG157="2",I157,0)</f>
        <v>0</v>
      </c>
      <c r="X157" s="61">
        <f>IF(AG157="0",J157,0)</f>
        <v>0</v>
      </c>
      <c r="Y157" s="50"/>
      <c r="Z157" s="34">
        <f>IF(AD157=0,J157,0)</f>
        <v>0</v>
      </c>
      <c r="AA157" s="34">
        <f>IF(AD157=15,J157,0)</f>
        <v>0</v>
      </c>
      <c r="AB157" s="34">
        <f>IF(AD157=21,J157,0)</f>
        <v>0</v>
      </c>
      <c r="AD157" s="61">
        <v>21</v>
      </c>
      <c r="AE157" s="61">
        <f>G157*0</f>
        <v>0</v>
      </c>
      <c r="AF157" s="61">
        <f>G157*(1-0)</f>
        <v>0</v>
      </c>
      <c r="AG157" s="56" t="s">
        <v>11</v>
      </c>
      <c r="AM157" s="61">
        <f>F157*AE157</f>
        <v>0</v>
      </c>
      <c r="AN157" s="61">
        <f>F157*AF157</f>
        <v>0</v>
      </c>
      <c r="AO157" s="62" t="s">
        <v>479</v>
      </c>
      <c r="AP157" s="62" t="s">
        <v>492</v>
      </c>
      <c r="AQ157" s="50" t="s">
        <v>493</v>
      </c>
      <c r="AS157" s="61">
        <f>AM157+AN157</f>
        <v>0</v>
      </c>
      <c r="AT157" s="61">
        <f>G157/(100-AU157)*100</f>
        <v>0</v>
      </c>
      <c r="AU157" s="61">
        <v>0</v>
      </c>
      <c r="AV157" s="61">
        <f>L157</f>
        <v>0</v>
      </c>
    </row>
    <row r="158" spans="1:37" ht="12.75">
      <c r="A158" s="11"/>
      <c r="B158" s="24"/>
      <c r="C158" s="24" t="s">
        <v>103</v>
      </c>
      <c r="D158" s="24" t="s">
        <v>396</v>
      </c>
      <c r="E158" s="32"/>
      <c r="F158" s="32"/>
      <c r="G158" s="32"/>
      <c r="H158" s="64">
        <f>SUM(H159:H165)</f>
        <v>0</v>
      </c>
      <c r="I158" s="64">
        <f>SUM(I159:I165)</f>
        <v>0</v>
      </c>
      <c r="J158" s="64">
        <f>H158+I158</f>
        <v>0</v>
      </c>
      <c r="K158" s="50"/>
      <c r="L158" s="64">
        <f>SUM(L159:L165)</f>
        <v>13.085051400000001</v>
      </c>
      <c r="M158" s="50"/>
      <c r="Y158" s="50"/>
      <c r="AI158" s="64">
        <f>SUM(Z159:Z165)</f>
        <v>0</v>
      </c>
      <c r="AJ158" s="64">
        <f>SUM(AA159:AA165)</f>
        <v>0</v>
      </c>
      <c r="AK158" s="64">
        <f>SUM(AB159:AB165)</f>
        <v>0</v>
      </c>
    </row>
    <row r="159" spans="1:48" ht="12.75">
      <c r="A159" s="10" t="s">
        <v>105</v>
      </c>
      <c r="B159" s="10"/>
      <c r="C159" s="10" t="s">
        <v>235</v>
      </c>
      <c r="D159" s="10" t="s">
        <v>397</v>
      </c>
      <c r="E159" s="10" t="s">
        <v>429</v>
      </c>
      <c r="F159" s="34">
        <v>116.5</v>
      </c>
      <c r="G159" s="34">
        <v>0</v>
      </c>
      <c r="H159" s="34">
        <f>F159*AE159</f>
        <v>0</v>
      </c>
      <c r="I159" s="34">
        <f>J159-H159</f>
        <v>0</v>
      </c>
      <c r="J159" s="34">
        <f>F159*G159</f>
        <v>0</v>
      </c>
      <c r="K159" s="34">
        <v>0.068</v>
      </c>
      <c r="L159" s="34">
        <f>F159*K159</f>
        <v>7.922000000000001</v>
      </c>
      <c r="M159" s="56" t="s">
        <v>449</v>
      </c>
      <c r="P159" s="61">
        <f>IF(AG159="5",J159,0)</f>
        <v>0</v>
      </c>
      <c r="R159" s="61">
        <f>IF(AG159="1",H159,0)</f>
        <v>0</v>
      </c>
      <c r="S159" s="61">
        <f>IF(AG159="1",I159,0)</f>
        <v>0</v>
      </c>
      <c r="T159" s="61">
        <f>IF(AG159="7",H159,0)</f>
        <v>0</v>
      </c>
      <c r="U159" s="61">
        <f>IF(AG159="7",I159,0)</f>
        <v>0</v>
      </c>
      <c r="V159" s="61">
        <f>IF(AG159="2",H159,0)</f>
        <v>0</v>
      </c>
      <c r="W159" s="61">
        <f>IF(AG159="2",I159,0)</f>
        <v>0</v>
      </c>
      <c r="X159" s="61">
        <f>IF(AG159="0",J159,0)</f>
        <v>0</v>
      </c>
      <c r="Y159" s="50"/>
      <c r="Z159" s="34">
        <f>IF(AD159=0,J159,0)</f>
        <v>0</v>
      </c>
      <c r="AA159" s="34">
        <f>IF(AD159=15,J159,0)</f>
        <v>0</v>
      </c>
      <c r="AB159" s="34">
        <f>IF(AD159=21,J159,0)</f>
        <v>0</v>
      </c>
      <c r="AD159" s="61">
        <v>21</v>
      </c>
      <c r="AE159" s="61">
        <f>G159*0</f>
        <v>0</v>
      </c>
      <c r="AF159" s="61">
        <f>G159*(1-0)</f>
        <v>0</v>
      </c>
      <c r="AG159" s="56" t="s">
        <v>7</v>
      </c>
      <c r="AM159" s="61">
        <f>F159*AE159</f>
        <v>0</v>
      </c>
      <c r="AN159" s="61">
        <f>F159*AF159</f>
        <v>0</v>
      </c>
      <c r="AO159" s="62" t="s">
        <v>480</v>
      </c>
      <c r="AP159" s="62" t="s">
        <v>492</v>
      </c>
      <c r="AQ159" s="50" t="s">
        <v>493</v>
      </c>
      <c r="AS159" s="61">
        <f>AM159+AN159</f>
        <v>0</v>
      </c>
      <c r="AT159" s="61">
        <f>G159/(100-AU159)*100</f>
        <v>0</v>
      </c>
      <c r="AU159" s="61">
        <v>0</v>
      </c>
      <c r="AV159" s="61">
        <f>L159</f>
        <v>7.922000000000001</v>
      </c>
    </row>
    <row r="160" spans="1:48" ht="12.75">
      <c r="A160" s="10" t="s">
        <v>106</v>
      </c>
      <c r="B160" s="10"/>
      <c r="C160" s="10" t="s">
        <v>236</v>
      </c>
      <c r="D160" s="10" t="s">
        <v>398</v>
      </c>
      <c r="E160" s="10" t="s">
        <v>427</v>
      </c>
      <c r="F160" s="34">
        <v>0.25</v>
      </c>
      <c r="G160" s="34">
        <v>0</v>
      </c>
      <c r="H160" s="34">
        <f>F160*AE160</f>
        <v>0</v>
      </c>
      <c r="I160" s="34">
        <f>J160-H160</f>
        <v>0</v>
      </c>
      <c r="J160" s="34">
        <f>F160*G160</f>
        <v>0</v>
      </c>
      <c r="K160" s="34">
        <v>2.20249</v>
      </c>
      <c r="L160" s="34">
        <f>F160*K160</f>
        <v>0.5506225</v>
      </c>
      <c r="M160" s="56" t="s">
        <v>449</v>
      </c>
      <c r="P160" s="61">
        <f>IF(AG160="5",J160,0)</f>
        <v>0</v>
      </c>
      <c r="R160" s="61">
        <f>IF(AG160="1",H160,0)</f>
        <v>0</v>
      </c>
      <c r="S160" s="61">
        <f>IF(AG160="1",I160,0)</f>
        <v>0</v>
      </c>
      <c r="T160" s="61">
        <f>IF(AG160="7",H160,0)</f>
        <v>0</v>
      </c>
      <c r="U160" s="61">
        <f>IF(AG160="7",I160,0)</f>
        <v>0</v>
      </c>
      <c r="V160" s="61">
        <f>IF(AG160="2",H160,0)</f>
        <v>0</v>
      </c>
      <c r="W160" s="61">
        <f>IF(AG160="2",I160,0)</f>
        <v>0</v>
      </c>
      <c r="X160" s="61">
        <f>IF(AG160="0",J160,0)</f>
        <v>0</v>
      </c>
      <c r="Y160" s="50"/>
      <c r="Z160" s="34">
        <f>IF(AD160=0,J160,0)</f>
        <v>0</v>
      </c>
      <c r="AA160" s="34">
        <f>IF(AD160=15,J160,0)</f>
        <v>0</v>
      </c>
      <c r="AB160" s="34">
        <f>IF(AD160=21,J160,0)</f>
        <v>0</v>
      </c>
      <c r="AD160" s="61">
        <v>21</v>
      </c>
      <c r="AE160" s="61">
        <f>G160*0.00573281703775411</f>
        <v>0</v>
      </c>
      <c r="AF160" s="61">
        <f>G160*(1-0.00573281703775411)</f>
        <v>0</v>
      </c>
      <c r="AG160" s="56" t="s">
        <v>7</v>
      </c>
      <c r="AM160" s="61">
        <f>F160*AE160</f>
        <v>0</v>
      </c>
      <c r="AN160" s="61">
        <f>F160*AF160</f>
        <v>0</v>
      </c>
      <c r="AO160" s="62" t="s">
        <v>480</v>
      </c>
      <c r="AP160" s="62" t="s">
        <v>492</v>
      </c>
      <c r="AQ160" s="50" t="s">
        <v>493</v>
      </c>
      <c r="AS160" s="61">
        <f>AM160+AN160</f>
        <v>0</v>
      </c>
      <c r="AT160" s="61">
        <f>G160/(100-AU160)*100</f>
        <v>0</v>
      </c>
      <c r="AU160" s="61">
        <v>0</v>
      </c>
      <c r="AV160" s="61">
        <f>L160</f>
        <v>0.5506225</v>
      </c>
    </row>
    <row r="161" spans="1:48" ht="12.75">
      <c r="A161" s="10" t="s">
        <v>107</v>
      </c>
      <c r="B161" s="10"/>
      <c r="C161" s="10" t="s">
        <v>237</v>
      </c>
      <c r="D161" s="10" t="s">
        <v>399</v>
      </c>
      <c r="E161" s="10" t="s">
        <v>427</v>
      </c>
      <c r="F161" s="34">
        <v>0.47</v>
      </c>
      <c r="G161" s="34">
        <v>0</v>
      </c>
      <c r="H161" s="34">
        <f>F161*AE161</f>
        <v>0</v>
      </c>
      <c r="I161" s="34">
        <f>J161-H161</f>
        <v>0</v>
      </c>
      <c r="J161" s="34">
        <f>F161*G161</f>
        <v>0</v>
      </c>
      <c r="K161" s="34">
        <v>1.80133</v>
      </c>
      <c r="L161" s="34">
        <f>F161*K161</f>
        <v>0.8466251</v>
      </c>
      <c r="M161" s="56" t="s">
        <v>449</v>
      </c>
      <c r="P161" s="61">
        <f>IF(AG161="5",J161,0)</f>
        <v>0</v>
      </c>
      <c r="R161" s="61">
        <f>IF(AG161="1",H161,0)</f>
        <v>0</v>
      </c>
      <c r="S161" s="61">
        <f>IF(AG161="1",I161,0)</f>
        <v>0</v>
      </c>
      <c r="T161" s="61">
        <f>IF(AG161="7",H161,0)</f>
        <v>0</v>
      </c>
      <c r="U161" s="61">
        <f>IF(AG161="7",I161,0)</f>
        <v>0</v>
      </c>
      <c r="V161" s="61">
        <f>IF(AG161="2",H161,0)</f>
        <v>0</v>
      </c>
      <c r="W161" s="61">
        <f>IF(AG161="2",I161,0)</f>
        <v>0</v>
      </c>
      <c r="X161" s="61">
        <f>IF(AG161="0",J161,0)</f>
        <v>0</v>
      </c>
      <c r="Y161" s="50"/>
      <c r="Z161" s="34">
        <f>IF(AD161=0,J161,0)</f>
        <v>0</v>
      </c>
      <c r="AA161" s="34">
        <f>IF(AD161=15,J161,0)</f>
        <v>0</v>
      </c>
      <c r="AB161" s="34">
        <f>IF(AD161=21,J161,0)</f>
        <v>0</v>
      </c>
      <c r="AD161" s="61">
        <v>21</v>
      </c>
      <c r="AE161" s="61">
        <f>G161*0.0196768964167924</f>
        <v>0</v>
      </c>
      <c r="AF161" s="61">
        <f>G161*(1-0.0196768964167924)</f>
        <v>0</v>
      </c>
      <c r="AG161" s="56" t="s">
        <v>7</v>
      </c>
      <c r="AM161" s="61">
        <f>F161*AE161</f>
        <v>0</v>
      </c>
      <c r="AN161" s="61">
        <f>F161*AF161</f>
        <v>0</v>
      </c>
      <c r="AO161" s="62" t="s">
        <v>480</v>
      </c>
      <c r="AP161" s="62" t="s">
        <v>492</v>
      </c>
      <c r="AQ161" s="50" t="s">
        <v>493</v>
      </c>
      <c r="AS161" s="61">
        <f>AM161+AN161</f>
        <v>0</v>
      </c>
      <c r="AT161" s="61">
        <f>G161/(100-AU161)*100</f>
        <v>0</v>
      </c>
      <c r="AU161" s="61">
        <v>0</v>
      </c>
      <c r="AV161" s="61">
        <f>L161</f>
        <v>0.8466251</v>
      </c>
    </row>
    <row r="162" spans="1:48" ht="12.75">
      <c r="A162" s="10" t="s">
        <v>108</v>
      </c>
      <c r="B162" s="10"/>
      <c r="C162" s="10" t="s">
        <v>238</v>
      </c>
      <c r="D162" s="10" t="s">
        <v>400</v>
      </c>
      <c r="E162" s="10" t="s">
        <v>427</v>
      </c>
      <c r="F162" s="34">
        <v>1.25</v>
      </c>
      <c r="G162" s="34">
        <v>0</v>
      </c>
      <c r="H162" s="34">
        <f>F162*AE162</f>
        <v>0</v>
      </c>
      <c r="I162" s="34">
        <f>J162-H162</f>
        <v>0</v>
      </c>
      <c r="J162" s="34">
        <f>F162*G162</f>
        <v>0</v>
      </c>
      <c r="K162" s="34">
        <v>1.80182</v>
      </c>
      <c r="L162" s="34">
        <f>F162*K162</f>
        <v>2.252275</v>
      </c>
      <c r="M162" s="56" t="s">
        <v>449</v>
      </c>
      <c r="P162" s="61">
        <f>IF(AG162="5",J162,0)</f>
        <v>0</v>
      </c>
      <c r="R162" s="61">
        <f>IF(AG162="1",H162,0)</f>
        <v>0</v>
      </c>
      <c r="S162" s="61">
        <f>IF(AG162="1",I162,0)</f>
        <v>0</v>
      </c>
      <c r="T162" s="61">
        <f>IF(AG162="7",H162,0)</f>
        <v>0</v>
      </c>
      <c r="U162" s="61">
        <f>IF(AG162="7",I162,0)</f>
        <v>0</v>
      </c>
      <c r="V162" s="61">
        <f>IF(AG162="2",H162,0)</f>
        <v>0</v>
      </c>
      <c r="W162" s="61">
        <f>IF(AG162="2",I162,0)</f>
        <v>0</v>
      </c>
      <c r="X162" s="61">
        <f>IF(AG162="0",J162,0)</f>
        <v>0</v>
      </c>
      <c r="Y162" s="50"/>
      <c r="Z162" s="34">
        <f>IF(AD162=0,J162,0)</f>
        <v>0</v>
      </c>
      <c r="AA162" s="34">
        <f>IF(AD162=15,J162,0)</f>
        <v>0</v>
      </c>
      <c r="AB162" s="34">
        <f>IF(AD162=21,J162,0)</f>
        <v>0</v>
      </c>
      <c r="AD162" s="61">
        <v>21</v>
      </c>
      <c r="AE162" s="61">
        <f>G162*0.0305706090866167</f>
        <v>0</v>
      </c>
      <c r="AF162" s="61">
        <f>G162*(1-0.0305706090866167)</f>
        <v>0</v>
      </c>
      <c r="AG162" s="56" t="s">
        <v>7</v>
      </c>
      <c r="AM162" s="61">
        <f>F162*AE162</f>
        <v>0</v>
      </c>
      <c r="AN162" s="61">
        <f>F162*AF162</f>
        <v>0</v>
      </c>
      <c r="AO162" s="62" t="s">
        <v>480</v>
      </c>
      <c r="AP162" s="62" t="s">
        <v>492</v>
      </c>
      <c r="AQ162" s="50" t="s">
        <v>493</v>
      </c>
      <c r="AS162" s="61">
        <f>AM162+AN162</f>
        <v>0</v>
      </c>
      <c r="AT162" s="61">
        <f>G162/(100-AU162)*100</f>
        <v>0</v>
      </c>
      <c r="AU162" s="61">
        <v>0</v>
      </c>
      <c r="AV162" s="61">
        <f>L162</f>
        <v>2.252275</v>
      </c>
    </row>
    <row r="163" spans="1:48" ht="12.75">
      <c r="A163" s="10" t="s">
        <v>109</v>
      </c>
      <c r="B163" s="10"/>
      <c r="C163" s="10" t="s">
        <v>239</v>
      </c>
      <c r="D163" s="10" t="s">
        <v>401</v>
      </c>
      <c r="E163" s="10" t="s">
        <v>427</v>
      </c>
      <c r="F163" s="34">
        <v>0.84</v>
      </c>
      <c r="G163" s="34">
        <v>0</v>
      </c>
      <c r="H163" s="34">
        <f>F163*AE163</f>
        <v>0</v>
      </c>
      <c r="I163" s="34">
        <f>J163-H163</f>
        <v>0</v>
      </c>
      <c r="J163" s="34">
        <f>F163*G163</f>
        <v>0</v>
      </c>
      <c r="K163" s="34">
        <v>1.80182</v>
      </c>
      <c r="L163" s="34">
        <f>F163*K163</f>
        <v>1.5135288</v>
      </c>
      <c r="M163" s="56" t="s">
        <v>449</v>
      </c>
      <c r="P163" s="61">
        <f>IF(AG163="5",J163,0)</f>
        <v>0</v>
      </c>
      <c r="R163" s="61">
        <f>IF(AG163="1",H163,0)</f>
        <v>0</v>
      </c>
      <c r="S163" s="61">
        <f>IF(AG163="1",I163,0)</f>
        <v>0</v>
      </c>
      <c r="T163" s="61">
        <f>IF(AG163="7",H163,0)</f>
        <v>0</v>
      </c>
      <c r="U163" s="61">
        <f>IF(AG163="7",I163,0)</f>
        <v>0</v>
      </c>
      <c r="V163" s="61">
        <f>IF(AG163="2",H163,0)</f>
        <v>0</v>
      </c>
      <c r="W163" s="61">
        <f>IF(AG163="2",I163,0)</f>
        <v>0</v>
      </c>
      <c r="X163" s="61">
        <f>IF(AG163="0",J163,0)</f>
        <v>0</v>
      </c>
      <c r="Y163" s="50"/>
      <c r="Z163" s="34">
        <f>IF(AD163=0,J163,0)</f>
        <v>0</v>
      </c>
      <c r="AA163" s="34">
        <f>IF(AD163=15,J163,0)</f>
        <v>0</v>
      </c>
      <c r="AB163" s="34">
        <f>IF(AD163=21,J163,0)</f>
        <v>0</v>
      </c>
      <c r="AD163" s="61">
        <v>21</v>
      </c>
      <c r="AE163" s="61">
        <f>G163*0.0351539708265802</f>
        <v>0</v>
      </c>
      <c r="AF163" s="61">
        <f>G163*(1-0.0351539708265802)</f>
        <v>0</v>
      </c>
      <c r="AG163" s="56" t="s">
        <v>7</v>
      </c>
      <c r="AM163" s="61">
        <f>F163*AE163</f>
        <v>0</v>
      </c>
      <c r="AN163" s="61">
        <f>F163*AF163</f>
        <v>0</v>
      </c>
      <c r="AO163" s="62" t="s">
        <v>480</v>
      </c>
      <c r="AP163" s="62" t="s">
        <v>492</v>
      </c>
      <c r="AQ163" s="50" t="s">
        <v>493</v>
      </c>
      <c r="AS163" s="61">
        <f>AM163+AN163</f>
        <v>0</v>
      </c>
      <c r="AT163" s="61">
        <f>G163/(100-AU163)*100</f>
        <v>0</v>
      </c>
      <c r="AU163" s="61">
        <v>0</v>
      </c>
      <c r="AV163" s="61">
        <f>L163</f>
        <v>1.5135288</v>
      </c>
    </row>
    <row r="164" spans="1:48" ht="12.75">
      <c r="A164" s="10" t="s">
        <v>110</v>
      </c>
      <c r="B164" s="10"/>
      <c r="C164" s="10" t="s">
        <v>233</v>
      </c>
      <c r="D164" s="10" t="s">
        <v>394</v>
      </c>
      <c r="E164" s="10" t="s">
        <v>428</v>
      </c>
      <c r="F164" s="34">
        <v>13.08505</v>
      </c>
      <c r="G164" s="34">
        <v>0</v>
      </c>
      <c r="H164" s="34">
        <f>F164*AE164</f>
        <v>0</v>
      </c>
      <c r="I164" s="34">
        <f>J164-H164</f>
        <v>0</v>
      </c>
      <c r="J164" s="34">
        <f>F164*G164</f>
        <v>0</v>
      </c>
      <c r="K164" s="34">
        <v>0</v>
      </c>
      <c r="L164" s="34">
        <f>F164*K164</f>
        <v>0</v>
      </c>
      <c r="M164" s="56" t="s">
        <v>449</v>
      </c>
      <c r="P164" s="61">
        <f>IF(AG164="5",J164,0)</f>
        <v>0</v>
      </c>
      <c r="R164" s="61">
        <f>IF(AG164="1",H164,0)</f>
        <v>0</v>
      </c>
      <c r="S164" s="61">
        <f>IF(AG164="1",I164,0)</f>
        <v>0</v>
      </c>
      <c r="T164" s="61">
        <f>IF(AG164="7",H164,0)</f>
        <v>0</v>
      </c>
      <c r="U164" s="61">
        <f>IF(AG164="7",I164,0)</f>
        <v>0</v>
      </c>
      <c r="V164" s="61">
        <f>IF(AG164="2",H164,0)</f>
        <v>0</v>
      </c>
      <c r="W164" s="61">
        <f>IF(AG164="2",I164,0)</f>
        <v>0</v>
      </c>
      <c r="X164" s="61">
        <f>IF(AG164="0",J164,0)</f>
        <v>0</v>
      </c>
      <c r="Y164" s="50"/>
      <c r="Z164" s="34">
        <f>IF(AD164=0,J164,0)</f>
        <v>0</v>
      </c>
      <c r="AA164" s="34">
        <f>IF(AD164=15,J164,0)</f>
        <v>0</v>
      </c>
      <c r="AB164" s="34">
        <f>IF(AD164=21,J164,0)</f>
        <v>0</v>
      </c>
      <c r="AD164" s="61">
        <v>21</v>
      </c>
      <c r="AE164" s="61">
        <f>G164*0</f>
        <v>0</v>
      </c>
      <c r="AF164" s="61">
        <f>G164*(1-0)</f>
        <v>0</v>
      </c>
      <c r="AG164" s="56" t="s">
        <v>11</v>
      </c>
      <c r="AM164" s="61">
        <f>F164*AE164</f>
        <v>0</v>
      </c>
      <c r="AN164" s="61">
        <f>F164*AF164</f>
        <v>0</v>
      </c>
      <c r="AO164" s="62" t="s">
        <v>480</v>
      </c>
      <c r="AP164" s="62" t="s">
        <v>492</v>
      </c>
      <c r="AQ164" s="50" t="s">
        <v>493</v>
      </c>
      <c r="AS164" s="61">
        <f>AM164+AN164</f>
        <v>0</v>
      </c>
      <c r="AT164" s="61">
        <f>G164/(100-AU164)*100</f>
        <v>0</v>
      </c>
      <c r="AU164" s="61">
        <v>0</v>
      </c>
      <c r="AV164" s="61">
        <f>L164</f>
        <v>0</v>
      </c>
    </row>
    <row r="165" spans="1:48" ht="12.75">
      <c r="A165" s="10" t="s">
        <v>111</v>
      </c>
      <c r="B165" s="10"/>
      <c r="C165" s="10" t="s">
        <v>234</v>
      </c>
      <c r="D165" s="10" t="s">
        <v>395</v>
      </c>
      <c r="E165" s="10" t="s">
        <v>428</v>
      </c>
      <c r="F165" s="34">
        <v>65.43</v>
      </c>
      <c r="G165" s="34">
        <v>0</v>
      </c>
      <c r="H165" s="34">
        <f>F165*AE165</f>
        <v>0</v>
      </c>
      <c r="I165" s="34">
        <f>J165-H165</f>
        <v>0</v>
      </c>
      <c r="J165" s="34">
        <f>F165*G165</f>
        <v>0</v>
      </c>
      <c r="K165" s="34">
        <v>0</v>
      </c>
      <c r="L165" s="34">
        <f>F165*K165</f>
        <v>0</v>
      </c>
      <c r="M165" s="56" t="s">
        <v>449</v>
      </c>
      <c r="P165" s="61">
        <f>IF(AG165="5",J165,0)</f>
        <v>0</v>
      </c>
      <c r="R165" s="61">
        <f>IF(AG165="1",H165,0)</f>
        <v>0</v>
      </c>
      <c r="S165" s="61">
        <f>IF(AG165="1",I165,0)</f>
        <v>0</v>
      </c>
      <c r="T165" s="61">
        <f>IF(AG165="7",H165,0)</f>
        <v>0</v>
      </c>
      <c r="U165" s="61">
        <f>IF(AG165="7",I165,0)</f>
        <v>0</v>
      </c>
      <c r="V165" s="61">
        <f>IF(AG165="2",H165,0)</f>
        <v>0</v>
      </c>
      <c r="W165" s="61">
        <f>IF(AG165="2",I165,0)</f>
        <v>0</v>
      </c>
      <c r="X165" s="61">
        <f>IF(AG165="0",J165,0)</f>
        <v>0</v>
      </c>
      <c r="Y165" s="50"/>
      <c r="Z165" s="34">
        <f>IF(AD165=0,J165,0)</f>
        <v>0</v>
      </c>
      <c r="AA165" s="34">
        <f>IF(AD165=15,J165,0)</f>
        <v>0</v>
      </c>
      <c r="AB165" s="34">
        <f>IF(AD165=21,J165,0)</f>
        <v>0</v>
      </c>
      <c r="AD165" s="61">
        <v>21</v>
      </c>
      <c r="AE165" s="61">
        <f>G165*0</f>
        <v>0</v>
      </c>
      <c r="AF165" s="61">
        <f>G165*(1-0)</f>
        <v>0</v>
      </c>
      <c r="AG165" s="56" t="s">
        <v>11</v>
      </c>
      <c r="AM165" s="61">
        <f>F165*AE165</f>
        <v>0</v>
      </c>
      <c r="AN165" s="61">
        <f>F165*AF165</f>
        <v>0</v>
      </c>
      <c r="AO165" s="62" t="s">
        <v>480</v>
      </c>
      <c r="AP165" s="62" t="s">
        <v>492</v>
      </c>
      <c r="AQ165" s="50" t="s">
        <v>493</v>
      </c>
      <c r="AS165" s="61">
        <f>AM165+AN165</f>
        <v>0</v>
      </c>
      <c r="AT165" s="61">
        <f>G165/(100-AU165)*100</f>
        <v>0</v>
      </c>
      <c r="AU165" s="61">
        <v>0</v>
      </c>
      <c r="AV165" s="61">
        <f>L165</f>
        <v>0</v>
      </c>
    </row>
    <row r="166" spans="1:37" ht="12.75">
      <c r="A166" s="11"/>
      <c r="B166" s="24"/>
      <c r="C166" s="24" t="s">
        <v>240</v>
      </c>
      <c r="D166" s="24" t="s">
        <v>402</v>
      </c>
      <c r="E166" s="32"/>
      <c r="F166" s="32"/>
      <c r="G166" s="32"/>
      <c r="H166" s="64">
        <f>SUM(H167:H167)</f>
        <v>0</v>
      </c>
      <c r="I166" s="64">
        <f>SUM(I167:I167)</f>
        <v>0</v>
      </c>
      <c r="J166" s="64">
        <f>H166+I166</f>
        <v>0</v>
      </c>
      <c r="K166" s="50"/>
      <c r="L166" s="64">
        <f>SUM(L167:L167)</f>
        <v>0.5</v>
      </c>
      <c r="M166" s="50"/>
      <c r="Y166" s="50"/>
      <c r="AI166" s="64">
        <f>SUM(Z167:Z167)</f>
        <v>0</v>
      </c>
      <c r="AJ166" s="64">
        <f>SUM(AA167:AA167)</f>
        <v>0</v>
      </c>
      <c r="AK166" s="64">
        <f>SUM(AB167:AB167)</f>
        <v>0</v>
      </c>
    </row>
    <row r="167" spans="1:48" ht="12.75">
      <c r="A167" s="10" t="s">
        <v>112</v>
      </c>
      <c r="B167" s="10"/>
      <c r="C167" s="10" t="s">
        <v>241</v>
      </c>
      <c r="D167" s="10" t="s">
        <v>403</v>
      </c>
      <c r="E167" s="10" t="s">
        <v>431</v>
      </c>
      <c r="F167" s="34">
        <v>1</v>
      </c>
      <c r="G167" s="34">
        <v>0</v>
      </c>
      <c r="H167" s="34">
        <f>F167*AE167</f>
        <v>0</v>
      </c>
      <c r="I167" s="34">
        <f>J167-H167</f>
        <v>0</v>
      </c>
      <c r="J167" s="34">
        <f>F167*G167</f>
        <v>0</v>
      </c>
      <c r="K167" s="34">
        <v>0.5</v>
      </c>
      <c r="L167" s="34">
        <f>F167*K167</f>
        <v>0.5</v>
      </c>
      <c r="M167" s="56" t="s">
        <v>449</v>
      </c>
      <c r="P167" s="61">
        <f>IF(AG167="5",J167,0)</f>
        <v>0</v>
      </c>
      <c r="R167" s="61">
        <f>IF(AG167="1",H167,0)</f>
        <v>0</v>
      </c>
      <c r="S167" s="61">
        <f>IF(AG167="1",I167,0)</f>
        <v>0</v>
      </c>
      <c r="T167" s="61">
        <f>IF(AG167="7",H167,0)</f>
        <v>0</v>
      </c>
      <c r="U167" s="61">
        <f>IF(AG167="7",I167,0)</f>
        <v>0</v>
      </c>
      <c r="V167" s="61">
        <f>IF(AG167="2",H167,0)</f>
        <v>0</v>
      </c>
      <c r="W167" s="61">
        <f>IF(AG167="2",I167,0)</f>
        <v>0</v>
      </c>
      <c r="X167" s="61">
        <f>IF(AG167="0",J167,0)</f>
        <v>0</v>
      </c>
      <c r="Y167" s="50"/>
      <c r="Z167" s="34">
        <f>IF(AD167=0,J167,0)</f>
        <v>0</v>
      </c>
      <c r="AA167" s="34">
        <f>IF(AD167=15,J167,0)</f>
        <v>0</v>
      </c>
      <c r="AB167" s="34">
        <f>IF(AD167=21,J167,0)</f>
        <v>0</v>
      </c>
      <c r="AD167" s="61">
        <v>21</v>
      </c>
      <c r="AE167" s="61">
        <f>G167*0.615617516149976</f>
        <v>0</v>
      </c>
      <c r="AF167" s="61">
        <f>G167*(1-0.615617516149976)</f>
        <v>0</v>
      </c>
      <c r="AG167" s="56" t="s">
        <v>8</v>
      </c>
      <c r="AM167" s="61">
        <f>F167*AE167</f>
        <v>0</v>
      </c>
      <c r="AN167" s="61">
        <f>F167*AF167</f>
        <v>0</v>
      </c>
      <c r="AO167" s="62" t="s">
        <v>481</v>
      </c>
      <c r="AP167" s="62" t="s">
        <v>492</v>
      </c>
      <c r="AQ167" s="50" t="s">
        <v>493</v>
      </c>
      <c r="AS167" s="61">
        <f>AM167+AN167</f>
        <v>0</v>
      </c>
      <c r="AT167" s="61">
        <f>G167/(100-AU167)*100</f>
        <v>0</v>
      </c>
      <c r="AU167" s="61">
        <v>0</v>
      </c>
      <c r="AV167" s="61">
        <f>L167</f>
        <v>0.5</v>
      </c>
    </row>
    <row r="168" ht="12.75">
      <c r="D168" s="28" t="s">
        <v>404</v>
      </c>
    </row>
    <row r="169" spans="1:37" ht="12.75">
      <c r="A169" s="11"/>
      <c r="B169" s="24"/>
      <c r="C169" s="24" t="s">
        <v>242</v>
      </c>
      <c r="D169" s="24" t="s">
        <v>405</v>
      </c>
      <c r="E169" s="32"/>
      <c r="F169" s="32"/>
      <c r="G169" s="32"/>
      <c r="H169" s="64">
        <f>SUM(H170:H176)</f>
        <v>0</v>
      </c>
      <c r="I169" s="64">
        <f>SUM(I170:I176)</f>
        <v>0</v>
      </c>
      <c r="J169" s="64">
        <f>H169+I169</f>
        <v>0</v>
      </c>
      <c r="K169" s="50"/>
      <c r="L169" s="64">
        <f>SUM(L170:L176)</f>
        <v>2.67</v>
      </c>
      <c r="M169" s="50"/>
      <c r="Y169" s="50"/>
      <c r="AI169" s="64">
        <f>SUM(Z170:Z176)</f>
        <v>0</v>
      </c>
      <c r="AJ169" s="64">
        <f>SUM(AA170:AA176)</f>
        <v>0</v>
      </c>
      <c r="AK169" s="64">
        <f>SUM(AB170:AB176)</f>
        <v>0</v>
      </c>
    </row>
    <row r="170" spans="1:48" ht="12.75">
      <c r="A170" s="10" t="s">
        <v>113</v>
      </c>
      <c r="B170" s="10"/>
      <c r="C170" s="10" t="s">
        <v>243</v>
      </c>
      <c r="D170" s="10" t="s">
        <v>406</v>
      </c>
      <c r="E170" s="10" t="s">
        <v>430</v>
      </c>
      <c r="F170" s="34">
        <v>1</v>
      </c>
      <c r="G170" s="34">
        <v>0</v>
      </c>
      <c r="H170" s="34">
        <f>F170*AE170</f>
        <v>0</v>
      </c>
      <c r="I170" s="34">
        <f>J170-H170</f>
        <v>0</v>
      </c>
      <c r="J170" s="34">
        <f>F170*G170</f>
        <v>0</v>
      </c>
      <c r="K170" s="34">
        <v>0</v>
      </c>
      <c r="L170" s="34">
        <f>F170*K170</f>
        <v>0</v>
      </c>
      <c r="M170" s="56" t="s">
        <v>449</v>
      </c>
      <c r="P170" s="61">
        <f>IF(AG170="5",J170,0)</f>
        <v>0</v>
      </c>
      <c r="R170" s="61">
        <f>IF(AG170="1",H170,0)</f>
        <v>0</v>
      </c>
      <c r="S170" s="61">
        <f>IF(AG170="1",I170,0)</f>
        <v>0</v>
      </c>
      <c r="T170" s="61">
        <f>IF(AG170="7",H170,0)</f>
        <v>0</v>
      </c>
      <c r="U170" s="61">
        <f>IF(AG170="7",I170,0)</f>
        <v>0</v>
      </c>
      <c r="V170" s="61">
        <f>IF(AG170="2",H170,0)</f>
        <v>0</v>
      </c>
      <c r="W170" s="61">
        <f>IF(AG170="2",I170,0)</f>
        <v>0</v>
      </c>
      <c r="X170" s="61">
        <f>IF(AG170="0",J170,0)</f>
        <v>0</v>
      </c>
      <c r="Y170" s="50"/>
      <c r="Z170" s="34">
        <f>IF(AD170=0,J170,0)</f>
        <v>0</v>
      </c>
      <c r="AA170" s="34">
        <f>IF(AD170=15,J170,0)</f>
        <v>0</v>
      </c>
      <c r="AB170" s="34">
        <f>IF(AD170=21,J170,0)</f>
        <v>0</v>
      </c>
      <c r="AD170" s="61">
        <v>21</v>
      </c>
      <c r="AE170" s="61">
        <f>G170*0</f>
        <v>0</v>
      </c>
      <c r="AF170" s="61">
        <f>G170*(1-0)</f>
        <v>0</v>
      </c>
      <c r="AG170" s="56" t="s">
        <v>8</v>
      </c>
      <c r="AM170" s="61">
        <f>F170*AE170</f>
        <v>0</v>
      </c>
      <c r="AN170" s="61">
        <f>F170*AF170</f>
        <v>0</v>
      </c>
      <c r="AO170" s="62" t="s">
        <v>482</v>
      </c>
      <c r="AP170" s="62" t="s">
        <v>492</v>
      </c>
      <c r="AQ170" s="50" t="s">
        <v>493</v>
      </c>
      <c r="AS170" s="61">
        <f>AM170+AN170</f>
        <v>0</v>
      </c>
      <c r="AT170" s="61">
        <f>G170/(100-AU170)*100</f>
        <v>0</v>
      </c>
      <c r="AU170" s="61">
        <v>0</v>
      </c>
      <c r="AV170" s="61">
        <f>L170</f>
        <v>0</v>
      </c>
    </row>
    <row r="171" spans="1:48" ht="12.75">
      <c r="A171" s="10" t="s">
        <v>114</v>
      </c>
      <c r="B171" s="10"/>
      <c r="C171" s="10" t="s">
        <v>244</v>
      </c>
      <c r="D171" s="10" t="s">
        <v>407</v>
      </c>
      <c r="E171" s="10" t="s">
        <v>431</v>
      </c>
      <c r="F171" s="34">
        <v>1</v>
      </c>
      <c r="G171" s="34">
        <v>0</v>
      </c>
      <c r="H171" s="34">
        <f>F171*AE171</f>
        <v>0</v>
      </c>
      <c r="I171" s="34">
        <f>J171-H171</f>
        <v>0</v>
      </c>
      <c r="J171" s="34">
        <f>F171*G171</f>
        <v>0</v>
      </c>
      <c r="K171" s="34">
        <v>1</v>
      </c>
      <c r="L171" s="34">
        <f>F171*K171</f>
        <v>1</v>
      </c>
      <c r="M171" s="56" t="s">
        <v>449</v>
      </c>
      <c r="P171" s="61">
        <f>IF(AG171="5",J171,0)</f>
        <v>0</v>
      </c>
      <c r="R171" s="61">
        <f>IF(AG171="1",H171,0)</f>
        <v>0</v>
      </c>
      <c r="S171" s="61">
        <f>IF(AG171="1",I171,0)</f>
        <v>0</v>
      </c>
      <c r="T171" s="61">
        <f>IF(AG171="7",H171,0)</f>
        <v>0</v>
      </c>
      <c r="U171" s="61">
        <f>IF(AG171="7",I171,0)</f>
        <v>0</v>
      </c>
      <c r="V171" s="61">
        <f>IF(AG171="2",H171,0)</f>
        <v>0</v>
      </c>
      <c r="W171" s="61">
        <f>IF(AG171="2",I171,0)</f>
        <v>0</v>
      </c>
      <c r="X171" s="61">
        <f>IF(AG171="0",J171,0)</f>
        <v>0</v>
      </c>
      <c r="Y171" s="50"/>
      <c r="Z171" s="34">
        <f>IF(AD171=0,J171,0)</f>
        <v>0</v>
      </c>
      <c r="AA171" s="34">
        <f>IF(AD171=15,J171,0)</f>
        <v>0</v>
      </c>
      <c r="AB171" s="34">
        <f>IF(AD171=21,J171,0)</f>
        <v>0</v>
      </c>
      <c r="AD171" s="61">
        <v>21</v>
      </c>
      <c r="AE171" s="61">
        <f>G171*0.666666666666667</f>
        <v>0</v>
      </c>
      <c r="AF171" s="61">
        <f>G171*(1-0.666666666666667)</f>
        <v>0</v>
      </c>
      <c r="AG171" s="56" t="s">
        <v>8</v>
      </c>
      <c r="AM171" s="61">
        <f>F171*AE171</f>
        <v>0</v>
      </c>
      <c r="AN171" s="61">
        <f>F171*AF171</f>
        <v>0</v>
      </c>
      <c r="AO171" s="62" t="s">
        <v>482</v>
      </c>
      <c r="AP171" s="62" t="s">
        <v>492</v>
      </c>
      <c r="AQ171" s="50" t="s">
        <v>493</v>
      </c>
      <c r="AS171" s="61">
        <f>AM171+AN171</f>
        <v>0</v>
      </c>
      <c r="AT171" s="61">
        <f>G171/(100-AU171)*100</f>
        <v>0</v>
      </c>
      <c r="AU171" s="61">
        <v>0</v>
      </c>
      <c r="AV171" s="61">
        <f>L171</f>
        <v>1</v>
      </c>
    </row>
    <row r="172" ht="12.75">
      <c r="D172" s="28" t="s">
        <v>408</v>
      </c>
    </row>
    <row r="173" spans="1:48" ht="12.75">
      <c r="A173" s="10" t="s">
        <v>115</v>
      </c>
      <c r="B173" s="10"/>
      <c r="C173" s="10" t="s">
        <v>245</v>
      </c>
      <c r="D173" s="10" t="s">
        <v>409</v>
      </c>
      <c r="E173" s="10" t="s">
        <v>430</v>
      </c>
      <c r="F173" s="34">
        <v>1</v>
      </c>
      <c r="G173" s="34">
        <v>0</v>
      </c>
      <c r="H173" s="34">
        <f>F173*AE173</f>
        <v>0</v>
      </c>
      <c r="I173" s="34">
        <f>J173-H173</f>
        <v>0</v>
      </c>
      <c r="J173" s="34">
        <f>F173*G173</f>
        <v>0</v>
      </c>
      <c r="K173" s="34">
        <v>1.67</v>
      </c>
      <c r="L173" s="34">
        <f>F173*K173</f>
        <v>1.67</v>
      </c>
      <c r="M173" s="56" t="s">
        <v>449</v>
      </c>
      <c r="P173" s="61">
        <f>IF(AG173="5",J173,0)</f>
        <v>0</v>
      </c>
      <c r="R173" s="61">
        <f>IF(AG173="1",H173,0)</f>
        <v>0</v>
      </c>
      <c r="S173" s="61">
        <f>IF(AG173="1",I173,0)</f>
        <v>0</v>
      </c>
      <c r="T173" s="61">
        <f>IF(AG173="7",H173,0)</f>
        <v>0</v>
      </c>
      <c r="U173" s="61">
        <f>IF(AG173="7",I173,0)</f>
        <v>0</v>
      </c>
      <c r="V173" s="61">
        <f>IF(AG173="2",H173,0)</f>
        <v>0</v>
      </c>
      <c r="W173" s="61">
        <f>IF(AG173="2",I173,0)</f>
        <v>0</v>
      </c>
      <c r="X173" s="61">
        <f>IF(AG173="0",J173,0)</f>
        <v>0</v>
      </c>
      <c r="Y173" s="50"/>
      <c r="Z173" s="34">
        <f>IF(AD173=0,J173,0)</f>
        <v>0</v>
      </c>
      <c r="AA173" s="34">
        <f>IF(AD173=15,J173,0)</f>
        <v>0</v>
      </c>
      <c r="AB173" s="34">
        <f>IF(AD173=21,J173,0)</f>
        <v>0</v>
      </c>
      <c r="AD173" s="61">
        <v>21</v>
      </c>
      <c r="AE173" s="61">
        <f>G173*0.976086442588977</f>
        <v>0</v>
      </c>
      <c r="AF173" s="61">
        <f>G173*(1-0.976086442588977)</f>
        <v>0</v>
      </c>
      <c r="AG173" s="56" t="s">
        <v>8</v>
      </c>
      <c r="AM173" s="61">
        <f>F173*AE173</f>
        <v>0</v>
      </c>
      <c r="AN173" s="61">
        <f>F173*AF173</f>
        <v>0</v>
      </c>
      <c r="AO173" s="62" t="s">
        <v>482</v>
      </c>
      <c r="AP173" s="62" t="s">
        <v>492</v>
      </c>
      <c r="AQ173" s="50" t="s">
        <v>493</v>
      </c>
      <c r="AS173" s="61">
        <f>AM173+AN173</f>
        <v>0</v>
      </c>
      <c r="AT173" s="61">
        <f>G173/(100-AU173)*100</f>
        <v>0</v>
      </c>
      <c r="AU173" s="61">
        <v>0</v>
      </c>
      <c r="AV173" s="61">
        <f>L173</f>
        <v>1.67</v>
      </c>
    </row>
    <row r="174" ht="12.75">
      <c r="D174" s="28" t="s">
        <v>410</v>
      </c>
    </row>
    <row r="175" spans="1:48" ht="12.75">
      <c r="A175" s="10" t="s">
        <v>116</v>
      </c>
      <c r="B175" s="10"/>
      <c r="C175" s="10" t="s">
        <v>246</v>
      </c>
      <c r="D175" s="10" t="s">
        <v>411</v>
      </c>
      <c r="E175" s="10" t="s">
        <v>430</v>
      </c>
      <c r="F175" s="34">
        <v>1</v>
      </c>
      <c r="G175" s="34">
        <v>0</v>
      </c>
      <c r="H175" s="34">
        <f>F175*AE175</f>
        <v>0</v>
      </c>
      <c r="I175" s="34">
        <f>J175-H175</f>
        <v>0</v>
      </c>
      <c r="J175" s="34">
        <f>F175*G175</f>
        <v>0</v>
      </c>
      <c r="K175" s="34">
        <v>0</v>
      </c>
      <c r="L175" s="34">
        <f>F175*K175</f>
        <v>0</v>
      </c>
      <c r="M175" s="56" t="s">
        <v>449</v>
      </c>
      <c r="P175" s="61">
        <f>IF(AG175="5",J175,0)</f>
        <v>0</v>
      </c>
      <c r="R175" s="61">
        <f>IF(AG175="1",H175,0)</f>
        <v>0</v>
      </c>
      <c r="S175" s="61">
        <f>IF(AG175="1",I175,0)</f>
        <v>0</v>
      </c>
      <c r="T175" s="61">
        <f>IF(AG175="7",H175,0)</f>
        <v>0</v>
      </c>
      <c r="U175" s="61">
        <f>IF(AG175="7",I175,0)</f>
        <v>0</v>
      </c>
      <c r="V175" s="61">
        <f>IF(AG175="2",H175,0)</f>
        <v>0</v>
      </c>
      <c r="W175" s="61">
        <f>IF(AG175="2",I175,0)</f>
        <v>0</v>
      </c>
      <c r="X175" s="61">
        <f>IF(AG175="0",J175,0)</f>
        <v>0</v>
      </c>
      <c r="Y175" s="50"/>
      <c r="Z175" s="34">
        <f>IF(AD175=0,J175,0)</f>
        <v>0</v>
      </c>
      <c r="AA175" s="34">
        <f>IF(AD175=15,J175,0)</f>
        <v>0</v>
      </c>
      <c r="AB175" s="34">
        <f>IF(AD175=21,J175,0)</f>
        <v>0</v>
      </c>
      <c r="AD175" s="61">
        <v>21</v>
      </c>
      <c r="AE175" s="61">
        <f>G175*0.946153846153846</f>
        <v>0</v>
      </c>
      <c r="AF175" s="61">
        <f>G175*(1-0.946153846153846)</f>
        <v>0</v>
      </c>
      <c r="AG175" s="56" t="s">
        <v>8</v>
      </c>
      <c r="AM175" s="61">
        <f>F175*AE175</f>
        <v>0</v>
      </c>
      <c r="AN175" s="61">
        <f>F175*AF175</f>
        <v>0</v>
      </c>
      <c r="AO175" s="62" t="s">
        <v>482</v>
      </c>
      <c r="AP175" s="62" t="s">
        <v>492</v>
      </c>
      <c r="AQ175" s="50" t="s">
        <v>493</v>
      </c>
      <c r="AS175" s="61">
        <f>AM175+AN175</f>
        <v>0</v>
      </c>
      <c r="AT175" s="61">
        <f>G175/(100-AU175)*100</f>
        <v>0</v>
      </c>
      <c r="AU175" s="61">
        <v>0</v>
      </c>
      <c r="AV175" s="61">
        <f>L175</f>
        <v>0</v>
      </c>
    </row>
    <row r="176" spans="1:48" ht="12.75">
      <c r="A176" s="10" t="s">
        <v>117</v>
      </c>
      <c r="B176" s="10"/>
      <c r="C176" s="10" t="s">
        <v>246</v>
      </c>
      <c r="D176" s="10" t="s">
        <v>412</v>
      </c>
      <c r="E176" s="10" t="s">
        <v>430</v>
      </c>
      <c r="F176" s="34">
        <v>1</v>
      </c>
      <c r="G176" s="34">
        <v>0</v>
      </c>
      <c r="H176" s="34">
        <f>F176*AE176</f>
        <v>0</v>
      </c>
      <c r="I176" s="34">
        <f>J176-H176</f>
        <v>0</v>
      </c>
      <c r="J176" s="34">
        <f>F176*G176</f>
        <v>0</v>
      </c>
      <c r="K176" s="34">
        <v>0</v>
      </c>
      <c r="L176" s="34">
        <f>F176*K176</f>
        <v>0</v>
      </c>
      <c r="M176" s="56" t="s">
        <v>449</v>
      </c>
      <c r="P176" s="61">
        <f>IF(AG176="5",J176,0)</f>
        <v>0</v>
      </c>
      <c r="R176" s="61">
        <f>IF(AG176="1",H176,0)</f>
        <v>0</v>
      </c>
      <c r="S176" s="61">
        <f>IF(AG176="1",I176,0)</f>
        <v>0</v>
      </c>
      <c r="T176" s="61">
        <f>IF(AG176="7",H176,0)</f>
        <v>0</v>
      </c>
      <c r="U176" s="61">
        <f>IF(AG176="7",I176,0)</f>
        <v>0</v>
      </c>
      <c r="V176" s="61">
        <f>IF(AG176="2",H176,0)</f>
        <v>0</v>
      </c>
      <c r="W176" s="61">
        <f>IF(AG176="2",I176,0)</f>
        <v>0</v>
      </c>
      <c r="X176" s="61">
        <f>IF(AG176="0",J176,0)</f>
        <v>0</v>
      </c>
      <c r="Y176" s="50"/>
      <c r="Z176" s="34">
        <f>IF(AD176=0,J176,0)</f>
        <v>0</v>
      </c>
      <c r="AA176" s="34">
        <f>IF(AD176=15,J176,0)</f>
        <v>0</v>
      </c>
      <c r="AB176" s="34">
        <f>IF(AD176=21,J176,0)</f>
        <v>0</v>
      </c>
      <c r="AD176" s="61">
        <v>21</v>
      </c>
      <c r="AE176" s="61">
        <f>G176*0.953333333333333</f>
        <v>0</v>
      </c>
      <c r="AF176" s="61">
        <f>G176*(1-0.953333333333333)</f>
        <v>0</v>
      </c>
      <c r="AG176" s="56" t="s">
        <v>8</v>
      </c>
      <c r="AM176" s="61">
        <f>F176*AE176</f>
        <v>0</v>
      </c>
      <c r="AN176" s="61">
        <f>F176*AF176</f>
        <v>0</v>
      </c>
      <c r="AO176" s="62" t="s">
        <v>482</v>
      </c>
      <c r="AP176" s="62" t="s">
        <v>492</v>
      </c>
      <c r="AQ176" s="50" t="s">
        <v>493</v>
      </c>
      <c r="AS176" s="61">
        <f>AM176+AN176</f>
        <v>0</v>
      </c>
      <c r="AT176" s="61">
        <f>G176/(100-AU176)*100</f>
        <v>0</v>
      </c>
      <c r="AU176" s="61">
        <v>0</v>
      </c>
      <c r="AV176" s="61">
        <f>L176</f>
        <v>0</v>
      </c>
    </row>
    <row r="177" ht="12.75">
      <c r="D177" s="28" t="s">
        <v>413</v>
      </c>
    </row>
    <row r="178" spans="1:37" ht="12.75">
      <c r="A178" s="11"/>
      <c r="B178" s="24"/>
      <c r="C178" s="24" t="s">
        <v>247</v>
      </c>
      <c r="D178" s="24" t="s">
        <v>414</v>
      </c>
      <c r="E178" s="32"/>
      <c r="F178" s="32"/>
      <c r="G178" s="32"/>
      <c r="H178" s="64">
        <f>SUM(H179:H184)</f>
        <v>0</v>
      </c>
      <c r="I178" s="64">
        <f>SUM(I179:I184)</f>
        <v>0</v>
      </c>
      <c r="J178" s="64">
        <f>H178+I178</f>
        <v>0</v>
      </c>
      <c r="K178" s="50"/>
      <c r="L178" s="64">
        <f>SUM(L179:L184)</f>
        <v>0</v>
      </c>
      <c r="M178" s="50"/>
      <c r="Y178" s="50"/>
      <c r="AI178" s="64">
        <f>SUM(Z179:Z184)</f>
        <v>0</v>
      </c>
      <c r="AJ178" s="64">
        <f>SUM(AA179:AA184)</f>
        <v>0</v>
      </c>
      <c r="AK178" s="64">
        <f>SUM(AB179:AB184)</f>
        <v>0</v>
      </c>
    </row>
    <row r="179" spans="1:48" ht="12.75">
      <c r="A179" s="10" t="s">
        <v>118</v>
      </c>
      <c r="B179" s="10"/>
      <c r="C179" s="10" t="s">
        <v>248</v>
      </c>
      <c r="D179" s="10" t="s">
        <v>415</v>
      </c>
      <c r="E179" s="10" t="s">
        <v>428</v>
      </c>
      <c r="F179" s="34">
        <v>120.85</v>
      </c>
      <c r="G179" s="34">
        <v>0</v>
      </c>
      <c r="H179" s="34">
        <f>F179*AE179</f>
        <v>0</v>
      </c>
      <c r="I179" s="34">
        <f>J179-H179</f>
        <v>0</v>
      </c>
      <c r="J179" s="34">
        <f>F179*G179</f>
        <v>0</v>
      </c>
      <c r="K179" s="34">
        <v>0</v>
      </c>
      <c r="L179" s="34">
        <f>F179*K179</f>
        <v>0</v>
      </c>
      <c r="M179" s="56" t="s">
        <v>449</v>
      </c>
      <c r="P179" s="61">
        <f>IF(AG179="5",J179,0)</f>
        <v>0</v>
      </c>
      <c r="R179" s="61">
        <f>IF(AG179="1",H179,0)</f>
        <v>0</v>
      </c>
      <c r="S179" s="61">
        <f>IF(AG179="1",I179,0)</f>
        <v>0</v>
      </c>
      <c r="T179" s="61">
        <f>IF(AG179="7",H179,0)</f>
        <v>0</v>
      </c>
      <c r="U179" s="61">
        <f>IF(AG179="7",I179,0)</f>
        <v>0</v>
      </c>
      <c r="V179" s="61">
        <f>IF(AG179="2",H179,0)</f>
        <v>0</v>
      </c>
      <c r="W179" s="61">
        <f>IF(AG179="2",I179,0)</f>
        <v>0</v>
      </c>
      <c r="X179" s="61">
        <f>IF(AG179="0",J179,0)</f>
        <v>0</v>
      </c>
      <c r="Y179" s="50"/>
      <c r="Z179" s="34">
        <f>IF(AD179=0,J179,0)</f>
        <v>0</v>
      </c>
      <c r="AA179" s="34">
        <f>IF(AD179=15,J179,0)</f>
        <v>0</v>
      </c>
      <c r="AB179" s="34">
        <f>IF(AD179=21,J179,0)</f>
        <v>0</v>
      </c>
      <c r="AD179" s="61">
        <v>21</v>
      </c>
      <c r="AE179" s="61">
        <f>G179*0</f>
        <v>0</v>
      </c>
      <c r="AF179" s="61">
        <f>G179*(1-0)</f>
        <v>0</v>
      </c>
      <c r="AG179" s="56" t="s">
        <v>11</v>
      </c>
      <c r="AM179" s="61">
        <f>F179*AE179</f>
        <v>0</v>
      </c>
      <c r="AN179" s="61">
        <f>F179*AF179</f>
        <v>0</v>
      </c>
      <c r="AO179" s="62" t="s">
        <v>483</v>
      </c>
      <c r="AP179" s="62" t="s">
        <v>492</v>
      </c>
      <c r="AQ179" s="50" t="s">
        <v>493</v>
      </c>
      <c r="AS179" s="61">
        <f>AM179+AN179</f>
        <v>0</v>
      </c>
      <c r="AT179" s="61">
        <f>G179/(100-AU179)*100</f>
        <v>0</v>
      </c>
      <c r="AU179" s="61">
        <v>0</v>
      </c>
      <c r="AV179" s="61">
        <f>L179</f>
        <v>0</v>
      </c>
    </row>
    <row r="180" spans="1:48" ht="12.75">
      <c r="A180" s="10" t="s">
        <v>119</v>
      </c>
      <c r="B180" s="10"/>
      <c r="C180" s="10" t="s">
        <v>249</v>
      </c>
      <c r="D180" s="10" t="s">
        <v>416</v>
      </c>
      <c r="E180" s="10" t="s">
        <v>428</v>
      </c>
      <c r="F180" s="34">
        <v>120.85</v>
      </c>
      <c r="G180" s="34">
        <v>0</v>
      </c>
      <c r="H180" s="34">
        <f>F180*AE180</f>
        <v>0</v>
      </c>
      <c r="I180" s="34">
        <f>J180-H180</f>
        <v>0</v>
      </c>
      <c r="J180" s="34">
        <f>F180*G180</f>
        <v>0</v>
      </c>
      <c r="K180" s="34">
        <v>0</v>
      </c>
      <c r="L180" s="34">
        <f>F180*K180</f>
        <v>0</v>
      </c>
      <c r="M180" s="56" t="s">
        <v>449</v>
      </c>
      <c r="P180" s="61">
        <f>IF(AG180="5",J180,0)</f>
        <v>0</v>
      </c>
      <c r="R180" s="61">
        <f>IF(AG180="1",H180,0)</f>
        <v>0</v>
      </c>
      <c r="S180" s="61">
        <f>IF(AG180="1",I180,0)</f>
        <v>0</v>
      </c>
      <c r="T180" s="61">
        <f>IF(AG180="7",H180,0)</f>
        <v>0</v>
      </c>
      <c r="U180" s="61">
        <f>IF(AG180="7",I180,0)</f>
        <v>0</v>
      </c>
      <c r="V180" s="61">
        <f>IF(AG180="2",H180,0)</f>
        <v>0</v>
      </c>
      <c r="W180" s="61">
        <f>IF(AG180="2",I180,0)</f>
        <v>0</v>
      </c>
      <c r="X180" s="61">
        <f>IF(AG180="0",J180,0)</f>
        <v>0</v>
      </c>
      <c r="Y180" s="50"/>
      <c r="Z180" s="34">
        <f>IF(AD180=0,J180,0)</f>
        <v>0</v>
      </c>
      <c r="AA180" s="34">
        <f>IF(AD180=15,J180,0)</f>
        <v>0</v>
      </c>
      <c r="AB180" s="34">
        <f>IF(AD180=21,J180,0)</f>
        <v>0</v>
      </c>
      <c r="AD180" s="61">
        <v>21</v>
      </c>
      <c r="AE180" s="61">
        <f>G180*0</f>
        <v>0</v>
      </c>
      <c r="AF180" s="61">
        <f>G180*(1-0)</f>
        <v>0</v>
      </c>
      <c r="AG180" s="56" t="s">
        <v>11</v>
      </c>
      <c r="AM180" s="61">
        <f>F180*AE180</f>
        <v>0</v>
      </c>
      <c r="AN180" s="61">
        <f>F180*AF180</f>
        <v>0</v>
      </c>
      <c r="AO180" s="62" t="s">
        <v>483</v>
      </c>
      <c r="AP180" s="62" t="s">
        <v>492</v>
      </c>
      <c r="AQ180" s="50" t="s">
        <v>493</v>
      </c>
      <c r="AS180" s="61">
        <f>AM180+AN180</f>
        <v>0</v>
      </c>
      <c r="AT180" s="61">
        <f>G180/(100-AU180)*100</f>
        <v>0</v>
      </c>
      <c r="AU180" s="61">
        <v>0</v>
      </c>
      <c r="AV180" s="61">
        <f>L180</f>
        <v>0</v>
      </c>
    </row>
    <row r="181" spans="1:48" ht="12.75">
      <c r="A181" s="10" t="s">
        <v>120</v>
      </c>
      <c r="B181" s="10"/>
      <c r="C181" s="10" t="s">
        <v>250</v>
      </c>
      <c r="D181" s="10" t="s">
        <v>417</v>
      </c>
      <c r="E181" s="10" t="s">
        <v>428</v>
      </c>
      <c r="F181" s="34">
        <v>604.23</v>
      </c>
      <c r="G181" s="34">
        <v>0</v>
      </c>
      <c r="H181" s="34">
        <f>F181*AE181</f>
        <v>0</v>
      </c>
      <c r="I181" s="34">
        <f>J181-H181</f>
        <v>0</v>
      </c>
      <c r="J181" s="34">
        <f>F181*G181</f>
        <v>0</v>
      </c>
      <c r="K181" s="34">
        <v>0</v>
      </c>
      <c r="L181" s="34">
        <f>F181*K181</f>
        <v>0</v>
      </c>
      <c r="M181" s="56" t="s">
        <v>449</v>
      </c>
      <c r="P181" s="61">
        <f>IF(AG181="5",J181,0)</f>
        <v>0</v>
      </c>
      <c r="R181" s="61">
        <f>IF(AG181="1",H181,0)</f>
        <v>0</v>
      </c>
      <c r="S181" s="61">
        <f>IF(AG181="1",I181,0)</f>
        <v>0</v>
      </c>
      <c r="T181" s="61">
        <f>IF(AG181="7",H181,0)</f>
        <v>0</v>
      </c>
      <c r="U181" s="61">
        <f>IF(AG181="7",I181,0)</f>
        <v>0</v>
      </c>
      <c r="V181" s="61">
        <f>IF(AG181="2",H181,0)</f>
        <v>0</v>
      </c>
      <c r="W181" s="61">
        <f>IF(AG181="2",I181,0)</f>
        <v>0</v>
      </c>
      <c r="X181" s="61">
        <f>IF(AG181="0",J181,0)</f>
        <v>0</v>
      </c>
      <c r="Y181" s="50"/>
      <c r="Z181" s="34">
        <f>IF(AD181=0,J181,0)</f>
        <v>0</v>
      </c>
      <c r="AA181" s="34">
        <f>IF(AD181=15,J181,0)</f>
        <v>0</v>
      </c>
      <c r="AB181" s="34">
        <f>IF(AD181=21,J181,0)</f>
        <v>0</v>
      </c>
      <c r="AD181" s="61">
        <v>21</v>
      </c>
      <c r="AE181" s="61">
        <f>G181*0</f>
        <v>0</v>
      </c>
      <c r="AF181" s="61">
        <f>G181*(1-0)</f>
        <v>0</v>
      </c>
      <c r="AG181" s="56" t="s">
        <v>11</v>
      </c>
      <c r="AM181" s="61">
        <f>F181*AE181</f>
        <v>0</v>
      </c>
      <c r="AN181" s="61">
        <f>F181*AF181</f>
        <v>0</v>
      </c>
      <c r="AO181" s="62" t="s">
        <v>483</v>
      </c>
      <c r="AP181" s="62" t="s">
        <v>492</v>
      </c>
      <c r="AQ181" s="50" t="s">
        <v>493</v>
      </c>
      <c r="AS181" s="61">
        <f>AM181+AN181</f>
        <v>0</v>
      </c>
      <c r="AT181" s="61">
        <f>G181/(100-AU181)*100</f>
        <v>0</v>
      </c>
      <c r="AU181" s="61">
        <v>0</v>
      </c>
      <c r="AV181" s="61">
        <f>L181</f>
        <v>0</v>
      </c>
    </row>
    <row r="182" spans="1:48" ht="12.75">
      <c r="A182" s="10" t="s">
        <v>121</v>
      </c>
      <c r="B182" s="10"/>
      <c r="C182" s="10" t="s">
        <v>251</v>
      </c>
      <c r="D182" s="10" t="s">
        <v>418</v>
      </c>
      <c r="E182" s="10" t="s">
        <v>428</v>
      </c>
      <c r="F182" s="34">
        <v>120.85</v>
      </c>
      <c r="G182" s="34">
        <v>0</v>
      </c>
      <c r="H182" s="34">
        <f>F182*AE182</f>
        <v>0</v>
      </c>
      <c r="I182" s="34">
        <f>J182-H182</f>
        <v>0</v>
      </c>
      <c r="J182" s="34">
        <f>F182*G182</f>
        <v>0</v>
      </c>
      <c r="K182" s="34">
        <v>0</v>
      </c>
      <c r="L182" s="34">
        <f>F182*K182</f>
        <v>0</v>
      </c>
      <c r="M182" s="56" t="s">
        <v>449</v>
      </c>
      <c r="P182" s="61">
        <f>IF(AG182="5",J182,0)</f>
        <v>0</v>
      </c>
      <c r="R182" s="61">
        <f>IF(AG182="1",H182,0)</f>
        <v>0</v>
      </c>
      <c r="S182" s="61">
        <f>IF(AG182="1",I182,0)</f>
        <v>0</v>
      </c>
      <c r="T182" s="61">
        <f>IF(AG182="7",H182,0)</f>
        <v>0</v>
      </c>
      <c r="U182" s="61">
        <f>IF(AG182="7",I182,0)</f>
        <v>0</v>
      </c>
      <c r="V182" s="61">
        <f>IF(AG182="2",H182,0)</f>
        <v>0</v>
      </c>
      <c r="W182" s="61">
        <f>IF(AG182="2",I182,0)</f>
        <v>0</v>
      </c>
      <c r="X182" s="61">
        <f>IF(AG182="0",J182,0)</f>
        <v>0</v>
      </c>
      <c r="Y182" s="50"/>
      <c r="Z182" s="34">
        <f>IF(AD182=0,J182,0)</f>
        <v>0</v>
      </c>
      <c r="AA182" s="34">
        <f>IF(AD182=15,J182,0)</f>
        <v>0</v>
      </c>
      <c r="AB182" s="34">
        <f>IF(AD182=21,J182,0)</f>
        <v>0</v>
      </c>
      <c r="AD182" s="61">
        <v>21</v>
      </c>
      <c r="AE182" s="61">
        <f>G182*0</f>
        <v>0</v>
      </c>
      <c r="AF182" s="61">
        <f>G182*(1-0)</f>
        <v>0</v>
      </c>
      <c r="AG182" s="56" t="s">
        <v>11</v>
      </c>
      <c r="AM182" s="61">
        <f>F182*AE182</f>
        <v>0</v>
      </c>
      <c r="AN182" s="61">
        <f>F182*AF182</f>
        <v>0</v>
      </c>
      <c r="AO182" s="62" t="s">
        <v>483</v>
      </c>
      <c r="AP182" s="62" t="s">
        <v>492</v>
      </c>
      <c r="AQ182" s="50" t="s">
        <v>493</v>
      </c>
      <c r="AS182" s="61">
        <f>AM182+AN182</f>
        <v>0</v>
      </c>
      <c r="AT182" s="61">
        <f>G182/(100-AU182)*100</f>
        <v>0</v>
      </c>
      <c r="AU182" s="61">
        <v>0</v>
      </c>
      <c r="AV182" s="61">
        <f>L182</f>
        <v>0</v>
      </c>
    </row>
    <row r="183" spans="1:48" ht="12.75">
      <c r="A183" s="10" t="s">
        <v>122</v>
      </c>
      <c r="B183" s="10"/>
      <c r="C183" s="10" t="s">
        <v>252</v>
      </c>
      <c r="D183" s="10" t="s">
        <v>419</v>
      </c>
      <c r="E183" s="10" t="s">
        <v>428</v>
      </c>
      <c r="F183" s="34">
        <v>120.85</v>
      </c>
      <c r="G183" s="34">
        <v>0</v>
      </c>
      <c r="H183" s="34">
        <f>F183*AE183</f>
        <v>0</v>
      </c>
      <c r="I183" s="34">
        <f>J183-H183</f>
        <v>0</v>
      </c>
      <c r="J183" s="34">
        <f>F183*G183</f>
        <v>0</v>
      </c>
      <c r="K183" s="34">
        <v>0</v>
      </c>
      <c r="L183" s="34">
        <f>F183*K183</f>
        <v>0</v>
      </c>
      <c r="M183" s="56" t="s">
        <v>449</v>
      </c>
      <c r="P183" s="61">
        <f>IF(AG183="5",J183,0)</f>
        <v>0</v>
      </c>
      <c r="R183" s="61">
        <f>IF(AG183="1",H183,0)</f>
        <v>0</v>
      </c>
      <c r="S183" s="61">
        <f>IF(AG183="1",I183,0)</f>
        <v>0</v>
      </c>
      <c r="T183" s="61">
        <f>IF(AG183="7",H183,0)</f>
        <v>0</v>
      </c>
      <c r="U183" s="61">
        <f>IF(AG183="7",I183,0)</f>
        <v>0</v>
      </c>
      <c r="V183" s="61">
        <f>IF(AG183="2",H183,0)</f>
        <v>0</v>
      </c>
      <c r="W183" s="61">
        <f>IF(AG183="2",I183,0)</f>
        <v>0</v>
      </c>
      <c r="X183" s="61">
        <f>IF(AG183="0",J183,0)</f>
        <v>0</v>
      </c>
      <c r="Y183" s="50"/>
      <c r="Z183" s="34">
        <f>IF(AD183=0,J183,0)</f>
        <v>0</v>
      </c>
      <c r="AA183" s="34">
        <f>IF(AD183=15,J183,0)</f>
        <v>0</v>
      </c>
      <c r="AB183" s="34">
        <f>IF(AD183=21,J183,0)</f>
        <v>0</v>
      </c>
      <c r="AD183" s="61">
        <v>21</v>
      </c>
      <c r="AE183" s="61">
        <f>G183*0</f>
        <v>0</v>
      </c>
      <c r="AF183" s="61">
        <f>G183*(1-0)</f>
        <v>0</v>
      </c>
      <c r="AG183" s="56" t="s">
        <v>11</v>
      </c>
      <c r="AM183" s="61">
        <f>F183*AE183</f>
        <v>0</v>
      </c>
      <c r="AN183" s="61">
        <f>F183*AF183</f>
        <v>0</v>
      </c>
      <c r="AO183" s="62" t="s">
        <v>483</v>
      </c>
      <c r="AP183" s="62" t="s">
        <v>492</v>
      </c>
      <c r="AQ183" s="50" t="s">
        <v>493</v>
      </c>
      <c r="AS183" s="61">
        <f>AM183+AN183</f>
        <v>0</v>
      </c>
      <c r="AT183" s="61">
        <f>G183/(100-AU183)*100</f>
        <v>0</v>
      </c>
      <c r="AU183" s="61">
        <v>0</v>
      </c>
      <c r="AV183" s="61">
        <f>L183</f>
        <v>0</v>
      </c>
    </row>
    <row r="184" spans="1:48" ht="12.75">
      <c r="A184" s="13" t="s">
        <v>123</v>
      </c>
      <c r="B184" s="13"/>
      <c r="C184" s="13" t="s">
        <v>253</v>
      </c>
      <c r="D184" s="13" t="s">
        <v>420</v>
      </c>
      <c r="E184" s="13" t="s">
        <v>428</v>
      </c>
      <c r="F184" s="36">
        <v>120.85</v>
      </c>
      <c r="G184" s="36">
        <v>0</v>
      </c>
      <c r="H184" s="36">
        <f>F184*AE184</f>
        <v>0</v>
      </c>
      <c r="I184" s="36">
        <f>J184-H184</f>
        <v>0</v>
      </c>
      <c r="J184" s="36">
        <f>F184*G184</f>
        <v>0</v>
      </c>
      <c r="K184" s="36">
        <v>0</v>
      </c>
      <c r="L184" s="36">
        <f>F184*K184</f>
        <v>0</v>
      </c>
      <c r="M184" s="58" t="s">
        <v>449</v>
      </c>
      <c r="P184" s="61">
        <f>IF(AG184="5",J184,0)</f>
        <v>0</v>
      </c>
      <c r="R184" s="61">
        <f>IF(AG184="1",H184,0)</f>
        <v>0</v>
      </c>
      <c r="S184" s="61">
        <f>IF(AG184="1",I184,0)</f>
        <v>0</v>
      </c>
      <c r="T184" s="61">
        <f>IF(AG184="7",H184,0)</f>
        <v>0</v>
      </c>
      <c r="U184" s="61">
        <f>IF(AG184="7",I184,0)</f>
        <v>0</v>
      </c>
      <c r="V184" s="61">
        <f>IF(AG184="2",H184,0)</f>
        <v>0</v>
      </c>
      <c r="W184" s="61">
        <f>IF(AG184="2",I184,0)</f>
        <v>0</v>
      </c>
      <c r="X184" s="61">
        <f>IF(AG184="0",J184,0)</f>
        <v>0</v>
      </c>
      <c r="Y184" s="50"/>
      <c r="Z184" s="34">
        <f>IF(AD184=0,J184,0)</f>
        <v>0</v>
      </c>
      <c r="AA184" s="34">
        <f>IF(AD184=15,J184,0)</f>
        <v>0</v>
      </c>
      <c r="AB184" s="34">
        <f>IF(AD184=21,J184,0)</f>
        <v>0</v>
      </c>
      <c r="AD184" s="61">
        <v>21</v>
      </c>
      <c r="AE184" s="61">
        <f>G184*0</f>
        <v>0</v>
      </c>
      <c r="AF184" s="61">
        <f>G184*(1-0)</f>
        <v>0</v>
      </c>
      <c r="AG184" s="56" t="s">
        <v>11</v>
      </c>
      <c r="AM184" s="61">
        <f>F184*AE184</f>
        <v>0</v>
      </c>
      <c r="AN184" s="61">
        <f>F184*AF184</f>
        <v>0</v>
      </c>
      <c r="AO184" s="62" t="s">
        <v>483</v>
      </c>
      <c r="AP184" s="62" t="s">
        <v>492</v>
      </c>
      <c r="AQ184" s="50" t="s">
        <v>493</v>
      </c>
      <c r="AS184" s="61">
        <f>AM184+AN184</f>
        <v>0</v>
      </c>
      <c r="AT184" s="61">
        <f>G184/(100-AU184)*100</f>
        <v>0</v>
      </c>
      <c r="AU184" s="61">
        <v>0</v>
      </c>
      <c r="AV184" s="61">
        <f>L184</f>
        <v>0</v>
      </c>
    </row>
    <row r="185" spans="1:13" ht="12.75">
      <c r="A185" s="14"/>
      <c r="B185" s="14"/>
      <c r="C185" s="14"/>
      <c r="D185" s="14"/>
      <c r="E185" s="14"/>
      <c r="F185" s="14"/>
      <c r="G185" s="14"/>
      <c r="H185" s="42" t="s">
        <v>439</v>
      </c>
      <c r="I185" s="46"/>
      <c r="J185" s="65">
        <f>J12+J14+J24+J35+J37+J43+J50+J74+J77+J80+J92+J95+J98+J102+J114+J117+J126+J132+J144+J148+J158+J166+J169+J178</f>
        <v>0</v>
      </c>
      <c r="K185" s="14"/>
      <c r="L185" s="14"/>
      <c r="M185" s="14"/>
    </row>
    <row r="186" ht="11.25" customHeight="1">
      <c r="A186" s="15" t="s">
        <v>124</v>
      </c>
    </row>
    <row r="187" spans="1:13" ht="25.5" customHeight="1">
      <c r="A187" s="16" t="s">
        <v>125</v>
      </c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</row>
  </sheetData>
  <mergeCells count="53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H10:J10"/>
    <mergeCell ref="K10:L10"/>
    <mergeCell ref="D12:G12"/>
    <mergeCell ref="D14:G14"/>
    <mergeCell ref="D24:G24"/>
    <mergeCell ref="D35:G35"/>
    <mergeCell ref="D37:G37"/>
    <mergeCell ref="D43:G43"/>
    <mergeCell ref="D50:G50"/>
    <mergeCell ref="D74:G74"/>
    <mergeCell ref="D77:G77"/>
    <mergeCell ref="D80:G80"/>
    <mergeCell ref="D92:G92"/>
    <mergeCell ref="D95:G95"/>
    <mergeCell ref="D98:G98"/>
    <mergeCell ref="D102:G102"/>
    <mergeCell ref="D114:G114"/>
    <mergeCell ref="D117:G117"/>
    <mergeCell ref="D126:G126"/>
    <mergeCell ref="D132:G132"/>
    <mergeCell ref="D144:G144"/>
    <mergeCell ref="D148:G148"/>
    <mergeCell ref="D158:G158"/>
    <mergeCell ref="D166:G166"/>
    <mergeCell ref="D169:G169"/>
    <mergeCell ref="D178:G178"/>
    <mergeCell ref="H185:I185"/>
    <mergeCell ref="A187:M187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workbookViewId="0" topLeftCell="A1">
      <selection activeCell="A1" sqref="A1:G1"/>
    </sheetView>
  </sheetViews>
  <sheetFormatPr defaultColWidth="11.57421875" defaultRowHeight="12.75"/>
  <cols>
    <col min="1" max="2" width="16.57421875" customWidth="1"/>
    <col min="3" max="3" width="41.7109375" customWidth="1"/>
    <col min="4" max="4" width="22.140625" customWidth="1"/>
    <col min="5" max="5" width="21.00390625" customWidth="1"/>
    <col min="6" max="6" width="20.8515625" customWidth="1"/>
    <col min="7" max="7" width="19.7109375" customWidth="1"/>
    <col min="8" max="9" width="0" hidden="1" customWidth="1"/>
  </cols>
  <sheetData>
    <row r="1" spans="1:7" ht="72.75" customHeight="1">
      <c r="A1" s="124" t="s">
        <v>494</v>
      </c>
      <c r="B1" s="17"/>
      <c r="C1" s="17"/>
      <c r="D1" s="17"/>
      <c r="E1" s="17"/>
      <c r="F1" s="17"/>
      <c r="G1" s="17"/>
    </row>
    <row r="2" spans="1:8" ht="12.75">
      <c r="A2" s="3" t="s">
        <v>1</v>
      </c>
      <c r="B2" s="25" t="s">
        <v>254</v>
      </c>
      <c r="C2" s="46"/>
      <c r="D2" s="43" t="s">
        <v>440</v>
      </c>
      <c r="E2" s="43"/>
      <c r="F2" s="18"/>
      <c r="G2" s="51"/>
      <c r="H2" s="59"/>
    </row>
    <row r="3" spans="1:8" ht="12.75">
      <c r="A3" s="4"/>
      <c r="B3" s="26"/>
      <c r="C3" s="26"/>
      <c r="D3" s="19"/>
      <c r="E3" s="19"/>
      <c r="F3" s="19"/>
      <c r="G3" s="52"/>
      <c r="H3" s="59"/>
    </row>
    <row r="4" spans="1:8" ht="12.75">
      <c r="A4" s="5" t="s">
        <v>2</v>
      </c>
      <c r="B4" s="16" t="s">
        <v>255</v>
      </c>
      <c r="C4" s="19"/>
      <c r="D4" s="16" t="s">
        <v>441</v>
      </c>
      <c r="E4" s="16"/>
      <c r="F4" s="19"/>
      <c r="G4" s="52"/>
      <c r="H4" s="59"/>
    </row>
    <row r="5" spans="1:8" ht="12.75">
      <c r="A5" s="4"/>
      <c r="B5" s="19"/>
      <c r="C5" s="19"/>
      <c r="D5" s="19"/>
      <c r="E5" s="19"/>
      <c r="F5" s="19"/>
      <c r="G5" s="52"/>
      <c r="H5" s="59"/>
    </row>
    <row r="6" spans="1:8" ht="12.75">
      <c r="A6" s="5" t="s">
        <v>3</v>
      </c>
      <c r="B6" s="16" t="s">
        <v>256</v>
      </c>
      <c r="C6" s="19"/>
      <c r="D6" s="16" t="s">
        <v>442</v>
      </c>
      <c r="E6" s="16"/>
      <c r="F6" s="19"/>
      <c r="G6" s="52"/>
      <c r="H6" s="59"/>
    </row>
    <row r="7" spans="1:8" ht="12.75">
      <c r="A7" s="4"/>
      <c r="B7" s="19"/>
      <c r="C7" s="19"/>
      <c r="D7" s="19"/>
      <c r="E7" s="19"/>
      <c r="F7" s="19"/>
      <c r="G7" s="52"/>
      <c r="H7" s="59"/>
    </row>
    <row r="8" spans="1:8" ht="12.75">
      <c r="A8" s="5" t="s">
        <v>443</v>
      </c>
      <c r="B8" s="16"/>
      <c r="C8" s="19"/>
      <c r="D8" s="30" t="s">
        <v>424</v>
      </c>
      <c r="E8" s="37">
        <v>41950</v>
      </c>
      <c r="F8" s="19"/>
      <c r="G8" s="52"/>
      <c r="H8" s="59"/>
    </row>
    <row r="9" spans="1:8" ht="12.75">
      <c r="A9" s="6"/>
      <c r="B9" s="20"/>
      <c r="C9" s="20"/>
      <c r="D9" s="20"/>
      <c r="E9" s="20"/>
      <c r="F9" s="20"/>
      <c r="G9" s="53"/>
      <c r="H9" s="59"/>
    </row>
    <row r="10" spans="1:8" ht="12.75">
      <c r="A10" s="66" t="s">
        <v>126</v>
      </c>
      <c r="B10" s="68" t="s">
        <v>127</v>
      </c>
      <c r="C10" s="69" t="s">
        <v>495</v>
      </c>
      <c r="D10" s="70" t="s">
        <v>496</v>
      </c>
      <c r="E10" s="70" t="s">
        <v>497</v>
      </c>
      <c r="F10" s="70" t="s">
        <v>498</v>
      </c>
      <c r="G10" s="72" t="s">
        <v>499</v>
      </c>
      <c r="H10" s="60"/>
    </row>
    <row r="11" spans="1:9" ht="12.75">
      <c r="A11" s="67"/>
      <c r="B11" s="67" t="s">
        <v>128</v>
      </c>
      <c r="C11" s="67" t="s">
        <v>259</v>
      </c>
      <c r="D11" s="73">
        <f>'Stavební rozpočet'!H12</f>
        <v>0</v>
      </c>
      <c r="E11" s="73">
        <f>'Stavební rozpočet'!I12</f>
        <v>0</v>
      </c>
      <c r="F11" s="73">
        <f>D11+E11</f>
        <v>0</v>
      </c>
      <c r="G11" s="73">
        <f>'Stavební rozpočet'!L12</f>
        <v>0.0204</v>
      </c>
      <c r="H11" s="61" t="s">
        <v>500</v>
      </c>
      <c r="I11" s="61">
        <f>IF(H11="F",0,F11)</f>
        <v>0</v>
      </c>
    </row>
    <row r="12" spans="1:9" ht="12.75">
      <c r="A12" s="30"/>
      <c r="B12" s="30" t="s">
        <v>37</v>
      </c>
      <c r="C12" s="30" t="s">
        <v>261</v>
      </c>
      <c r="D12" s="61">
        <f>'Stavební rozpočet'!H14</f>
        <v>0</v>
      </c>
      <c r="E12" s="61">
        <f>'Stavební rozpočet'!I14</f>
        <v>0</v>
      </c>
      <c r="F12" s="61">
        <f>D12+E12</f>
        <v>0</v>
      </c>
      <c r="G12" s="61">
        <f>'Stavební rozpočet'!L14</f>
        <v>15.4562544</v>
      </c>
      <c r="H12" s="61" t="s">
        <v>500</v>
      </c>
      <c r="I12" s="61">
        <f>IF(H12="F",0,F12)</f>
        <v>0</v>
      </c>
    </row>
    <row r="13" spans="1:9" ht="12.75">
      <c r="A13" s="30"/>
      <c r="B13" s="30" t="s">
        <v>40</v>
      </c>
      <c r="C13" s="30" t="s">
        <v>271</v>
      </c>
      <c r="D13" s="61">
        <f>'Stavební rozpočet'!H24</f>
        <v>0</v>
      </c>
      <c r="E13" s="61">
        <f>'Stavební rozpočet'!I24</f>
        <v>0</v>
      </c>
      <c r="F13" s="61">
        <f>D13+E13</f>
        <v>0</v>
      </c>
      <c r="G13" s="61">
        <f>'Stavební rozpočet'!L24</f>
        <v>50.8311135</v>
      </c>
      <c r="H13" s="61" t="s">
        <v>500</v>
      </c>
      <c r="I13" s="61">
        <f>IF(H13="F",0,F13)</f>
        <v>0</v>
      </c>
    </row>
    <row r="14" spans="1:9" ht="12.75">
      <c r="A14" s="30"/>
      <c r="B14" s="30" t="s">
        <v>47</v>
      </c>
      <c r="C14" s="30" t="s">
        <v>281</v>
      </c>
      <c r="D14" s="61">
        <f>'Stavební rozpočet'!H35</f>
        <v>0</v>
      </c>
      <c r="E14" s="61">
        <f>'Stavební rozpočet'!I35</f>
        <v>0</v>
      </c>
      <c r="F14" s="61">
        <f>D14+E14</f>
        <v>0</v>
      </c>
      <c r="G14" s="61">
        <f>'Stavební rozpočet'!L35</f>
        <v>4.292991300000001</v>
      </c>
      <c r="H14" s="61" t="s">
        <v>500</v>
      </c>
      <c r="I14" s="61">
        <f>IF(H14="F",0,F14)</f>
        <v>0</v>
      </c>
    </row>
    <row r="15" spans="1:9" ht="12.75">
      <c r="A15" s="30"/>
      <c r="B15" s="30" t="s">
        <v>67</v>
      </c>
      <c r="C15" s="30" t="s">
        <v>283</v>
      </c>
      <c r="D15" s="61">
        <f>'Stavební rozpočet'!H37</f>
        <v>0</v>
      </c>
      <c r="E15" s="61">
        <f>'Stavební rozpočet'!I37</f>
        <v>0</v>
      </c>
      <c r="F15" s="61">
        <f>D15+E15</f>
        <v>0</v>
      </c>
      <c r="G15" s="61">
        <f>'Stavební rozpočet'!L37</f>
        <v>63.6105858</v>
      </c>
      <c r="H15" s="61" t="s">
        <v>500</v>
      </c>
      <c r="I15" s="61">
        <f>IF(H15="F",0,F15)</f>
        <v>0</v>
      </c>
    </row>
    <row r="16" spans="1:9" ht="12.75">
      <c r="A16" s="30"/>
      <c r="B16" s="30" t="s">
        <v>68</v>
      </c>
      <c r="C16" s="30" t="s">
        <v>288</v>
      </c>
      <c r="D16" s="61">
        <f>'Stavební rozpočet'!H43</f>
        <v>0</v>
      </c>
      <c r="E16" s="61">
        <f>'Stavební rozpočet'!I43</f>
        <v>0</v>
      </c>
      <c r="F16" s="61">
        <f>D16+E16</f>
        <v>0</v>
      </c>
      <c r="G16" s="61">
        <f>'Stavební rozpočet'!L43</f>
        <v>0.3447346</v>
      </c>
      <c r="H16" s="61" t="s">
        <v>500</v>
      </c>
      <c r="I16" s="61">
        <f>IF(H16="F",0,F16)</f>
        <v>0</v>
      </c>
    </row>
    <row r="17" spans="1:9" ht="12.75">
      <c r="A17" s="30"/>
      <c r="B17" s="30" t="s">
        <v>70</v>
      </c>
      <c r="C17" s="30" t="s">
        <v>295</v>
      </c>
      <c r="D17" s="61">
        <f>'Stavební rozpočet'!H50</f>
        <v>0</v>
      </c>
      <c r="E17" s="61">
        <f>'Stavební rozpočet'!I50</f>
        <v>0</v>
      </c>
      <c r="F17" s="61">
        <f>D17+E17</f>
        <v>0</v>
      </c>
      <c r="G17" s="61">
        <f>'Stavební rozpočet'!L50</f>
        <v>8.241554</v>
      </c>
      <c r="H17" s="61" t="s">
        <v>500</v>
      </c>
      <c r="I17" s="61">
        <f>IF(H17="F",0,F17)</f>
        <v>0</v>
      </c>
    </row>
    <row r="18" spans="1:9" ht="12.75">
      <c r="A18" s="30"/>
      <c r="B18" s="30" t="s">
        <v>163</v>
      </c>
      <c r="C18" s="30" t="s">
        <v>318</v>
      </c>
      <c r="D18" s="61">
        <f>'Stavební rozpočet'!H74</f>
        <v>0</v>
      </c>
      <c r="E18" s="61">
        <f>'Stavební rozpočet'!I74</f>
        <v>0</v>
      </c>
      <c r="F18" s="61">
        <f>D18+E18</f>
        <v>0</v>
      </c>
      <c r="G18" s="61">
        <f>'Stavební rozpočet'!L74</f>
        <v>0.5</v>
      </c>
      <c r="H18" s="61" t="s">
        <v>500</v>
      </c>
      <c r="I18" s="61">
        <f>IF(H18="F",0,F18)</f>
        <v>0</v>
      </c>
    </row>
    <row r="19" spans="1:9" ht="12.75">
      <c r="A19" s="30"/>
      <c r="B19" s="30" t="s">
        <v>166</v>
      </c>
      <c r="C19" s="30" t="s">
        <v>320</v>
      </c>
      <c r="D19" s="61">
        <f>'Stavební rozpočet'!H77</f>
        <v>0</v>
      </c>
      <c r="E19" s="61">
        <f>'Stavební rozpočet'!I77</f>
        <v>0</v>
      </c>
      <c r="F19" s="61">
        <f>D19+E19</f>
        <v>0</v>
      </c>
      <c r="G19" s="61">
        <f>'Stavební rozpočet'!L77</f>
        <v>0.3</v>
      </c>
      <c r="H19" s="61" t="s">
        <v>500</v>
      </c>
      <c r="I19" s="61">
        <f>IF(H19="F",0,F19)</f>
        <v>0</v>
      </c>
    </row>
    <row r="20" spans="1:9" ht="12.75">
      <c r="A20" s="30"/>
      <c r="B20" s="30" t="s">
        <v>169</v>
      </c>
      <c r="C20" s="30" t="s">
        <v>322</v>
      </c>
      <c r="D20" s="61">
        <f>'Stavební rozpočet'!H80</f>
        <v>0</v>
      </c>
      <c r="E20" s="61">
        <f>'Stavební rozpočet'!I80</f>
        <v>0</v>
      </c>
      <c r="F20" s="61">
        <f>D20+E20</f>
        <v>0</v>
      </c>
      <c r="G20" s="61">
        <f>'Stavební rozpočet'!L80</f>
        <v>5.0177483</v>
      </c>
      <c r="H20" s="61" t="s">
        <v>500</v>
      </c>
      <c r="I20" s="61">
        <f>IF(H20="F",0,F20)</f>
        <v>0</v>
      </c>
    </row>
    <row r="21" spans="1:9" ht="12.75">
      <c r="A21" s="30"/>
      <c r="B21" s="30" t="s">
        <v>181</v>
      </c>
      <c r="C21" s="30" t="s">
        <v>334</v>
      </c>
      <c r="D21" s="61">
        <f>'Stavební rozpočet'!H92</f>
        <v>0</v>
      </c>
      <c r="E21" s="61">
        <f>'Stavební rozpočet'!I92</f>
        <v>0</v>
      </c>
      <c r="F21" s="61">
        <f>D21+E21</f>
        <v>0</v>
      </c>
      <c r="G21" s="61">
        <f>'Stavební rozpočet'!L92</f>
        <v>0.5</v>
      </c>
      <c r="H21" s="61" t="s">
        <v>500</v>
      </c>
      <c r="I21" s="61">
        <f>IF(H21="F",0,F21)</f>
        <v>0</v>
      </c>
    </row>
    <row r="22" spans="1:9" ht="12.75">
      <c r="A22" s="30"/>
      <c r="B22" s="30" t="s">
        <v>183</v>
      </c>
      <c r="C22" s="30" t="s">
        <v>336</v>
      </c>
      <c r="D22" s="61">
        <f>'Stavební rozpočet'!H95</f>
        <v>0</v>
      </c>
      <c r="E22" s="61">
        <f>'Stavební rozpočet'!I95</f>
        <v>0</v>
      </c>
      <c r="F22" s="61">
        <f>D22+E22</f>
        <v>0</v>
      </c>
      <c r="G22" s="61">
        <f>'Stavební rozpočet'!L95</f>
        <v>0.5</v>
      </c>
      <c r="H22" s="61" t="s">
        <v>500</v>
      </c>
      <c r="I22" s="61">
        <f>IF(H22="F",0,F22)</f>
        <v>0</v>
      </c>
    </row>
    <row r="23" spans="1:9" ht="12.75">
      <c r="A23" s="30"/>
      <c r="B23" s="30" t="s">
        <v>186</v>
      </c>
      <c r="C23" s="30" t="s">
        <v>339</v>
      </c>
      <c r="D23" s="61">
        <f>'Stavební rozpočet'!H98</f>
        <v>0</v>
      </c>
      <c r="E23" s="61">
        <f>'Stavební rozpočet'!I98</f>
        <v>0</v>
      </c>
      <c r="F23" s="61">
        <f>D23+E23</f>
        <v>0</v>
      </c>
      <c r="G23" s="61">
        <f>'Stavební rozpočet'!L98</f>
        <v>0.0215733</v>
      </c>
      <c r="H23" s="61" t="s">
        <v>500</v>
      </c>
      <c r="I23" s="61">
        <f>IF(H23="F",0,F23)</f>
        <v>0</v>
      </c>
    </row>
    <row r="24" spans="1:9" ht="12.75">
      <c r="A24" s="30"/>
      <c r="B24" s="30" t="s">
        <v>190</v>
      </c>
      <c r="C24" s="30" t="s">
        <v>343</v>
      </c>
      <c r="D24" s="61">
        <f>'Stavební rozpočet'!H102</f>
        <v>0</v>
      </c>
      <c r="E24" s="61">
        <f>'Stavební rozpočet'!I102</f>
        <v>0</v>
      </c>
      <c r="F24" s="61">
        <f>D24+E24</f>
        <v>0</v>
      </c>
      <c r="G24" s="61">
        <f>'Stavební rozpočet'!L102</f>
        <v>2.62566</v>
      </c>
      <c r="H24" s="61" t="s">
        <v>500</v>
      </c>
      <c r="I24" s="61">
        <f>IF(H24="F",0,F24)</f>
        <v>0</v>
      </c>
    </row>
    <row r="25" spans="1:9" ht="12.75">
      <c r="A25" s="30"/>
      <c r="B25" s="30" t="s">
        <v>200</v>
      </c>
      <c r="C25" s="30" t="s">
        <v>354</v>
      </c>
      <c r="D25" s="61">
        <f>'Stavební rozpočet'!H114</f>
        <v>0</v>
      </c>
      <c r="E25" s="61">
        <f>'Stavební rozpočet'!I114</f>
        <v>0</v>
      </c>
      <c r="F25" s="61">
        <f>D25+E25</f>
        <v>0</v>
      </c>
      <c r="G25" s="61">
        <f>'Stavební rozpočet'!L114</f>
        <v>0.0399</v>
      </c>
      <c r="H25" s="61" t="s">
        <v>500</v>
      </c>
      <c r="I25" s="61">
        <f>IF(H25="F",0,F25)</f>
        <v>0</v>
      </c>
    </row>
    <row r="26" spans="1:9" ht="12.75">
      <c r="A26" s="30"/>
      <c r="B26" s="30" t="s">
        <v>203</v>
      </c>
      <c r="C26" s="30" t="s">
        <v>357</v>
      </c>
      <c r="D26" s="61">
        <f>'Stavební rozpočet'!H117</f>
        <v>0</v>
      </c>
      <c r="E26" s="61">
        <f>'Stavební rozpočet'!I117</f>
        <v>0</v>
      </c>
      <c r="F26" s="61">
        <f>D26+E26</f>
        <v>0</v>
      </c>
      <c r="G26" s="61">
        <f>'Stavební rozpočet'!L117</f>
        <v>18.2743951</v>
      </c>
      <c r="H26" s="61" t="s">
        <v>500</v>
      </c>
      <c r="I26" s="61">
        <f>IF(H26="F",0,F26)</f>
        <v>0</v>
      </c>
    </row>
    <row r="27" spans="1:9" ht="12.75">
      <c r="A27" s="30"/>
      <c r="B27" s="30" t="s">
        <v>210</v>
      </c>
      <c r="C27" s="30" t="s">
        <v>365</v>
      </c>
      <c r="D27" s="61">
        <f>'Stavební rozpočet'!H126</f>
        <v>0</v>
      </c>
      <c r="E27" s="61">
        <f>'Stavební rozpočet'!I126</f>
        <v>0</v>
      </c>
      <c r="F27" s="61">
        <f>D27+E27</f>
        <v>0</v>
      </c>
      <c r="G27" s="61">
        <f>'Stavební rozpočet'!L126</f>
        <v>0.08290699999999998</v>
      </c>
      <c r="H27" s="61" t="s">
        <v>500</v>
      </c>
      <c r="I27" s="61">
        <f>IF(H27="F",0,F27)</f>
        <v>0</v>
      </c>
    </row>
    <row r="28" spans="1:9" ht="12.75">
      <c r="A28" s="30"/>
      <c r="B28" s="30" t="s">
        <v>215</v>
      </c>
      <c r="C28" s="30" t="s">
        <v>371</v>
      </c>
      <c r="D28" s="61">
        <f>'Stavební rozpočet'!H132</f>
        <v>0</v>
      </c>
      <c r="E28" s="61">
        <f>'Stavební rozpočet'!I132</f>
        <v>0</v>
      </c>
      <c r="F28" s="61">
        <f>D28+E28</f>
        <v>0</v>
      </c>
      <c r="G28" s="61">
        <f>'Stavební rozpočet'!L132</f>
        <v>11.2027934</v>
      </c>
      <c r="H28" s="61" t="s">
        <v>500</v>
      </c>
      <c r="I28" s="61">
        <f>IF(H28="F",0,F28)</f>
        <v>0</v>
      </c>
    </row>
    <row r="29" spans="1:9" ht="12.75">
      <c r="A29" s="30"/>
      <c r="B29" s="30" t="s">
        <v>224</v>
      </c>
      <c r="C29" s="30" t="s">
        <v>382</v>
      </c>
      <c r="D29" s="61">
        <f>'Stavební rozpočet'!H144</f>
        <v>0</v>
      </c>
      <c r="E29" s="61">
        <f>'Stavební rozpočet'!I144</f>
        <v>0</v>
      </c>
      <c r="F29" s="61">
        <f>D29+E29</f>
        <v>0</v>
      </c>
      <c r="G29" s="61">
        <f>'Stavební rozpočet'!L144</f>
        <v>0.25138499999999997</v>
      </c>
      <c r="H29" s="61" t="s">
        <v>500</v>
      </c>
      <c r="I29" s="61">
        <f>IF(H29="F",0,F29)</f>
        <v>0</v>
      </c>
    </row>
    <row r="30" spans="1:9" ht="12.75">
      <c r="A30" s="30"/>
      <c r="B30" s="30" t="s">
        <v>102</v>
      </c>
      <c r="C30" s="30" t="s">
        <v>386</v>
      </c>
      <c r="D30" s="61">
        <f>'Stavební rozpočet'!H148</f>
        <v>0</v>
      </c>
      <c r="E30" s="61">
        <f>'Stavební rozpočet'!I148</f>
        <v>0</v>
      </c>
      <c r="F30" s="61">
        <f>D30+E30</f>
        <v>0</v>
      </c>
      <c r="G30" s="61">
        <f>'Stavební rozpočet'!L148</f>
        <v>107.75759540000001</v>
      </c>
      <c r="H30" s="61" t="s">
        <v>500</v>
      </c>
      <c r="I30" s="61">
        <f>IF(H30="F",0,F30)</f>
        <v>0</v>
      </c>
    </row>
    <row r="31" spans="1:9" ht="12.75">
      <c r="A31" s="30"/>
      <c r="B31" s="30" t="s">
        <v>103</v>
      </c>
      <c r="C31" s="30" t="s">
        <v>396</v>
      </c>
      <c r="D31" s="61">
        <f>'Stavební rozpočet'!H158</f>
        <v>0</v>
      </c>
      <c r="E31" s="61">
        <f>'Stavební rozpočet'!I158</f>
        <v>0</v>
      </c>
      <c r="F31" s="61">
        <f>D31+E31</f>
        <v>0</v>
      </c>
      <c r="G31" s="61">
        <f>'Stavební rozpočet'!L158</f>
        <v>13.085051400000001</v>
      </c>
      <c r="H31" s="61" t="s">
        <v>500</v>
      </c>
      <c r="I31" s="61">
        <f>IF(H31="F",0,F31)</f>
        <v>0</v>
      </c>
    </row>
    <row r="32" spans="1:9" ht="12.75">
      <c r="A32" s="30"/>
      <c r="B32" s="30" t="s">
        <v>240</v>
      </c>
      <c r="C32" s="30" t="s">
        <v>402</v>
      </c>
      <c r="D32" s="61">
        <f>'Stavební rozpočet'!H166</f>
        <v>0</v>
      </c>
      <c r="E32" s="61">
        <f>'Stavební rozpočet'!I166</f>
        <v>0</v>
      </c>
      <c r="F32" s="61">
        <f>D32+E32</f>
        <v>0</v>
      </c>
      <c r="G32" s="61">
        <f>'Stavební rozpočet'!L166</f>
        <v>0.5</v>
      </c>
      <c r="H32" s="61" t="s">
        <v>500</v>
      </c>
      <c r="I32" s="61">
        <f>IF(H32="F",0,F32)</f>
        <v>0</v>
      </c>
    </row>
    <row r="33" spans="1:9" ht="12.75">
      <c r="A33" s="30"/>
      <c r="B33" s="30" t="s">
        <v>242</v>
      </c>
      <c r="C33" s="30" t="s">
        <v>405</v>
      </c>
      <c r="D33" s="61">
        <f>'Stavební rozpočet'!H169</f>
        <v>0</v>
      </c>
      <c r="E33" s="61">
        <f>'Stavební rozpočet'!I169</f>
        <v>0</v>
      </c>
      <c r="F33" s="61">
        <f>D33+E33</f>
        <v>0</v>
      </c>
      <c r="G33" s="61">
        <f>'Stavební rozpočet'!L169</f>
        <v>2.67</v>
      </c>
      <c r="H33" s="61" t="s">
        <v>500</v>
      </c>
      <c r="I33" s="61">
        <f>IF(H33="F",0,F33)</f>
        <v>0</v>
      </c>
    </row>
    <row r="34" spans="1:9" ht="12.75">
      <c r="A34" s="30"/>
      <c r="B34" s="30" t="s">
        <v>247</v>
      </c>
      <c r="C34" s="30" t="s">
        <v>414</v>
      </c>
      <c r="D34" s="61">
        <f>'Stavební rozpočet'!H178</f>
        <v>0</v>
      </c>
      <c r="E34" s="61">
        <f>'Stavební rozpočet'!I178</f>
        <v>0</v>
      </c>
      <c r="F34" s="61">
        <f>D34+E34</f>
        <v>0</v>
      </c>
      <c r="G34" s="61">
        <f>'Stavební rozpočet'!L178</f>
        <v>0</v>
      </c>
      <c r="H34" s="61" t="s">
        <v>500</v>
      </c>
      <c r="I34" s="61">
        <f>IF(H34="F",0,F34)</f>
        <v>0</v>
      </c>
    </row>
    <row r="36" spans="5:6" ht="12.75">
      <c r="E36" s="71" t="s">
        <v>439</v>
      </c>
      <c r="F36" s="74">
        <f>SUM(I11:I34)</f>
        <v>0</v>
      </c>
    </row>
  </sheetData>
  <mergeCells count="17">
    <mergeCell ref="A1:G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6"/>
  <sheetViews>
    <sheetView workbookViewId="0" topLeftCell="A1">
      <selection activeCell="A1" sqref="A1:H1"/>
    </sheetView>
  </sheetViews>
  <sheetFormatPr defaultColWidth="11.57421875" defaultRowHeight="12.75"/>
  <cols>
    <col min="1" max="2" width="9.140625" customWidth="1"/>
    <col min="3" max="3" width="13.28125" customWidth="1"/>
    <col min="4" max="4" width="53.7109375" customWidth="1"/>
    <col min="5" max="5" width="14.57421875" customWidth="1"/>
    <col min="6" max="6" width="24.140625" customWidth="1"/>
    <col min="7" max="7" width="20.421875" customWidth="1"/>
    <col min="8" max="8" width="16.421875" customWidth="1"/>
  </cols>
  <sheetData>
    <row r="1" spans="1:8" ht="72.75" customHeight="1">
      <c r="A1" s="124" t="s">
        <v>501</v>
      </c>
      <c r="B1" s="17"/>
      <c r="C1" s="17"/>
      <c r="D1" s="17"/>
      <c r="E1" s="17"/>
      <c r="F1" s="17"/>
      <c r="G1" s="17"/>
      <c r="H1" s="17"/>
    </row>
    <row r="2" spans="1:9" ht="12.75">
      <c r="A2" s="3" t="s">
        <v>1</v>
      </c>
      <c r="B2" s="18"/>
      <c r="C2" s="25" t="s">
        <v>254</v>
      </c>
      <c r="D2" s="46"/>
      <c r="E2" s="43" t="s">
        <v>440</v>
      </c>
      <c r="F2" s="43"/>
      <c r="G2" s="18"/>
      <c r="H2" s="51"/>
      <c r="I2" s="59"/>
    </row>
    <row r="3" spans="1:9" ht="12.75">
      <c r="A3" s="4"/>
      <c r="B3" s="19"/>
      <c r="C3" s="26"/>
      <c r="D3" s="26"/>
      <c r="E3" s="19"/>
      <c r="F3" s="19"/>
      <c r="G3" s="19"/>
      <c r="H3" s="52"/>
      <c r="I3" s="59"/>
    </row>
    <row r="4" spans="1:9" ht="12.75">
      <c r="A4" s="5" t="s">
        <v>2</v>
      </c>
      <c r="B4" s="19"/>
      <c r="C4" s="16" t="s">
        <v>255</v>
      </c>
      <c r="D4" s="19"/>
      <c r="E4" s="16" t="s">
        <v>441</v>
      </c>
      <c r="F4" s="16"/>
      <c r="G4" s="19"/>
      <c r="H4" s="52"/>
      <c r="I4" s="59"/>
    </row>
    <row r="5" spans="1:9" ht="12.75">
      <c r="A5" s="4"/>
      <c r="B5" s="19"/>
      <c r="C5" s="19"/>
      <c r="D5" s="19"/>
      <c r="E5" s="19"/>
      <c r="F5" s="19"/>
      <c r="G5" s="19"/>
      <c r="H5" s="52"/>
      <c r="I5" s="59"/>
    </row>
    <row r="6" spans="1:9" ht="12.75">
      <c r="A6" s="5" t="s">
        <v>3</v>
      </c>
      <c r="B6" s="19"/>
      <c r="C6" s="16" t="s">
        <v>256</v>
      </c>
      <c r="D6" s="19"/>
      <c r="E6" s="16" t="s">
        <v>442</v>
      </c>
      <c r="F6" s="16"/>
      <c r="G6" s="19"/>
      <c r="H6" s="52"/>
      <c r="I6" s="59"/>
    </row>
    <row r="7" spans="1:9" ht="12.75">
      <c r="A7" s="4"/>
      <c r="B7" s="19"/>
      <c r="C7" s="19"/>
      <c r="D7" s="19"/>
      <c r="E7" s="19"/>
      <c r="F7" s="19"/>
      <c r="G7" s="19"/>
      <c r="H7" s="52"/>
      <c r="I7" s="59"/>
    </row>
    <row r="8" spans="1:9" ht="12.75">
      <c r="A8" s="5" t="s">
        <v>443</v>
      </c>
      <c r="B8" s="19"/>
      <c r="C8" s="16"/>
      <c r="D8" s="19"/>
      <c r="E8" s="30" t="s">
        <v>424</v>
      </c>
      <c r="F8" s="37">
        <v>41950</v>
      </c>
      <c r="G8" s="19"/>
      <c r="H8" s="52"/>
      <c r="I8" s="59"/>
    </row>
    <row r="9" spans="1:9" ht="12.75">
      <c r="A9" s="6"/>
      <c r="B9" s="20"/>
      <c r="C9" s="20"/>
      <c r="D9" s="20"/>
      <c r="E9" s="20"/>
      <c r="F9" s="20"/>
      <c r="G9" s="20"/>
      <c r="H9" s="53"/>
      <c r="I9" s="59"/>
    </row>
    <row r="10" spans="1:9" ht="12.75">
      <c r="A10" s="68" t="s">
        <v>5</v>
      </c>
      <c r="B10" s="69" t="s">
        <v>126</v>
      </c>
      <c r="C10" s="69" t="s">
        <v>127</v>
      </c>
      <c r="D10" s="69" t="s">
        <v>257</v>
      </c>
      <c r="E10" s="69" t="s">
        <v>425</v>
      </c>
      <c r="F10" s="69" t="s">
        <v>258</v>
      </c>
      <c r="G10" s="76" t="s">
        <v>434</v>
      </c>
      <c r="H10" s="66" t="s">
        <v>613</v>
      </c>
      <c r="I10" s="60"/>
    </row>
    <row r="11" spans="1:8" ht="12.75">
      <c r="A11" s="75" t="s">
        <v>7</v>
      </c>
      <c r="B11" s="75"/>
      <c r="C11" s="75" t="s">
        <v>129</v>
      </c>
      <c r="D11" s="75" t="s">
        <v>260</v>
      </c>
      <c r="E11" s="75" t="s">
        <v>426</v>
      </c>
      <c r="F11" s="75" t="s">
        <v>504</v>
      </c>
      <c r="G11" s="77">
        <v>1.2</v>
      </c>
      <c r="H11" s="78" t="s">
        <v>449</v>
      </c>
    </row>
    <row r="12" spans="1:8" ht="12.75">
      <c r="A12" s="10" t="s">
        <v>8</v>
      </c>
      <c r="B12" s="10"/>
      <c r="C12" s="10" t="s">
        <v>130</v>
      </c>
      <c r="D12" s="10" t="s">
        <v>262</v>
      </c>
      <c r="E12" s="10" t="s">
        <v>427</v>
      </c>
      <c r="F12" s="10" t="s">
        <v>505</v>
      </c>
      <c r="G12" s="34">
        <v>5.82</v>
      </c>
      <c r="H12" s="56" t="s">
        <v>449</v>
      </c>
    </row>
    <row r="13" spans="1:8" ht="12.75">
      <c r="A13" s="10" t="s">
        <v>9</v>
      </c>
      <c r="B13" s="10"/>
      <c r="C13" s="10" t="s">
        <v>130</v>
      </c>
      <c r="D13" s="10" t="s">
        <v>263</v>
      </c>
      <c r="E13" s="10" t="s">
        <v>427</v>
      </c>
      <c r="F13" s="10" t="s">
        <v>506</v>
      </c>
      <c r="G13" s="34">
        <v>1.18</v>
      </c>
      <c r="H13" s="56" t="s">
        <v>449</v>
      </c>
    </row>
    <row r="14" spans="1:8" ht="12.75">
      <c r="A14" s="10" t="s">
        <v>10</v>
      </c>
      <c r="B14" s="10"/>
      <c r="C14" s="10" t="s">
        <v>131</v>
      </c>
      <c r="D14" s="10" t="s">
        <v>264</v>
      </c>
      <c r="E14" s="10" t="s">
        <v>428</v>
      </c>
      <c r="G14" s="34">
        <v>0.5</v>
      </c>
      <c r="H14" s="56" t="s">
        <v>449</v>
      </c>
    </row>
    <row r="15" spans="4:7" ht="12.75">
      <c r="D15" s="28" t="s">
        <v>265</v>
      </c>
      <c r="F15" s="10" t="s">
        <v>507</v>
      </c>
      <c r="G15" s="34">
        <v>0.5</v>
      </c>
    </row>
    <row r="16" spans="1:8" ht="12.75">
      <c r="A16" s="10" t="s">
        <v>11</v>
      </c>
      <c r="B16" s="10"/>
      <c r="C16" s="10" t="s">
        <v>132</v>
      </c>
      <c r="D16" s="10" t="s">
        <v>266</v>
      </c>
      <c r="E16" s="10" t="s">
        <v>428</v>
      </c>
      <c r="G16" s="34">
        <v>0.4</v>
      </c>
      <c r="H16" s="56" t="s">
        <v>449</v>
      </c>
    </row>
    <row r="17" spans="4:7" ht="12.75">
      <c r="D17" s="28" t="s">
        <v>267</v>
      </c>
      <c r="F17" s="10" t="s">
        <v>508</v>
      </c>
      <c r="G17" s="34">
        <v>0.4</v>
      </c>
    </row>
    <row r="18" spans="1:8" ht="12.75">
      <c r="A18" s="10" t="s">
        <v>12</v>
      </c>
      <c r="B18" s="10"/>
      <c r="C18" s="10" t="s">
        <v>133</v>
      </c>
      <c r="D18" s="10" t="s">
        <v>268</v>
      </c>
      <c r="E18" s="10" t="s">
        <v>427</v>
      </c>
      <c r="F18" s="10" t="s">
        <v>509</v>
      </c>
      <c r="G18" s="34">
        <v>8.5</v>
      </c>
      <c r="H18" s="56" t="s">
        <v>449</v>
      </c>
    </row>
    <row r="19" spans="1:8" ht="12.75">
      <c r="A19" s="10" t="s">
        <v>13</v>
      </c>
      <c r="B19" s="10"/>
      <c r="C19" s="10" t="s">
        <v>134</v>
      </c>
      <c r="D19" s="10" t="s">
        <v>269</v>
      </c>
      <c r="E19" s="10" t="s">
        <v>429</v>
      </c>
      <c r="F19" s="10" t="s">
        <v>510</v>
      </c>
      <c r="G19" s="34">
        <v>11.91</v>
      </c>
      <c r="H19" s="56" t="s">
        <v>449</v>
      </c>
    </row>
    <row r="20" spans="1:8" ht="12.75">
      <c r="A20" s="10" t="s">
        <v>14</v>
      </c>
      <c r="B20" s="10"/>
      <c r="C20" s="10" t="s">
        <v>135</v>
      </c>
      <c r="D20" s="10" t="s">
        <v>270</v>
      </c>
      <c r="E20" s="10" t="s">
        <v>429</v>
      </c>
      <c r="G20" s="34">
        <v>11.91</v>
      </c>
      <c r="H20" s="56" t="s">
        <v>449</v>
      </c>
    </row>
    <row r="21" spans="1:8" ht="12.75">
      <c r="A21" s="10" t="s">
        <v>15</v>
      </c>
      <c r="B21" s="10"/>
      <c r="C21" s="10" t="s">
        <v>136</v>
      </c>
      <c r="D21" s="10" t="s">
        <v>272</v>
      </c>
      <c r="E21" s="10" t="s">
        <v>429</v>
      </c>
      <c r="G21" s="34">
        <v>167.74</v>
      </c>
      <c r="H21" s="56" t="s">
        <v>449</v>
      </c>
    </row>
    <row r="22" spans="4:7" ht="12.75">
      <c r="D22" s="28" t="s">
        <v>273</v>
      </c>
      <c r="F22" s="10" t="s">
        <v>511</v>
      </c>
      <c r="G22" s="34">
        <v>39.95</v>
      </c>
    </row>
    <row r="23" spans="1:7" ht="12.75">
      <c r="A23" s="10"/>
      <c r="B23" s="10"/>
      <c r="C23" s="10"/>
      <c r="D23" s="10"/>
      <c r="E23" s="10"/>
      <c r="F23" s="10" t="s">
        <v>512</v>
      </c>
      <c r="G23" s="34">
        <v>25.91</v>
      </c>
    </row>
    <row r="24" spans="1:7" ht="12.75">
      <c r="A24" s="10"/>
      <c r="B24" s="10"/>
      <c r="C24" s="10"/>
      <c r="D24" s="10"/>
      <c r="E24" s="10"/>
      <c r="F24" s="10" t="s">
        <v>513</v>
      </c>
      <c r="G24" s="34">
        <v>97</v>
      </c>
    </row>
    <row r="25" spans="1:7" ht="12.75">
      <c r="A25" s="10"/>
      <c r="B25" s="10"/>
      <c r="C25" s="10"/>
      <c r="D25" s="10"/>
      <c r="E25" s="10"/>
      <c r="F25" s="10" t="s">
        <v>514</v>
      </c>
      <c r="G25" s="34">
        <v>4.88</v>
      </c>
    </row>
    <row r="26" spans="1:8" ht="12.75">
      <c r="A26" s="10" t="s">
        <v>16</v>
      </c>
      <c r="B26" s="10"/>
      <c r="C26" s="10" t="s">
        <v>137</v>
      </c>
      <c r="D26" s="10" t="s">
        <v>274</v>
      </c>
      <c r="E26" s="10" t="s">
        <v>429</v>
      </c>
      <c r="G26" s="34">
        <v>29.5</v>
      </c>
      <c r="H26" s="56" t="s">
        <v>449</v>
      </c>
    </row>
    <row r="27" spans="4:7" ht="12.75">
      <c r="D27" s="28" t="s">
        <v>275</v>
      </c>
      <c r="F27" s="10" t="s">
        <v>515</v>
      </c>
      <c r="G27" s="34">
        <v>28.6</v>
      </c>
    </row>
    <row r="28" spans="1:7" ht="12.75">
      <c r="A28" s="10"/>
      <c r="B28" s="10"/>
      <c r="C28" s="10"/>
      <c r="D28" s="10"/>
      <c r="E28" s="10"/>
      <c r="F28" s="10" t="s">
        <v>516</v>
      </c>
      <c r="G28" s="34">
        <v>0.9</v>
      </c>
    </row>
    <row r="29" spans="1:8" ht="12.75">
      <c r="A29" s="10" t="s">
        <v>17</v>
      </c>
      <c r="B29" s="10"/>
      <c r="C29" s="10" t="s">
        <v>138</v>
      </c>
      <c r="D29" s="10" t="s">
        <v>276</v>
      </c>
      <c r="E29" s="10" t="s">
        <v>429</v>
      </c>
      <c r="G29" s="34">
        <v>400.63</v>
      </c>
      <c r="H29" s="56" t="s">
        <v>449</v>
      </c>
    </row>
    <row r="30" spans="4:7" ht="12.75">
      <c r="D30" s="28" t="s">
        <v>277</v>
      </c>
      <c r="F30" s="10" t="s">
        <v>517</v>
      </c>
      <c r="G30" s="34">
        <v>42.8</v>
      </c>
    </row>
    <row r="31" spans="1:7" ht="12.75">
      <c r="A31" s="10"/>
      <c r="B31" s="10"/>
      <c r="C31" s="10"/>
      <c r="D31" s="10"/>
      <c r="E31" s="10"/>
      <c r="F31" s="10" t="s">
        <v>518</v>
      </c>
      <c r="G31" s="34">
        <v>76.51</v>
      </c>
    </row>
    <row r="32" spans="1:7" ht="12.75">
      <c r="A32" s="10"/>
      <c r="B32" s="10"/>
      <c r="C32" s="10"/>
      <c r="D32" s="10"/>
      <c r="E32" s="10"/>
      <c r="F32" s="10" t="s">
        <v>519</v>
      </c>
      <c r="G32" s="34">
        <v>82.78</v>
      </c>
    </row>
    <row r="33" spans="1:7" ht="12.75">
      <c r="A33" s="10"/>
      <c r="B33" s="10"/>
      <c r="C33" s="10"/>
      <c r="D33" s="10"/>
      <c r="E33" s="10"/>
      <c r="F33" s="10" t="s">
        <v>520</v>
      </c>
      <c r="G33" s="34">
        <v>69.24</v>
      </c>
    </row>
    <row r="34" spans="1:7" ht="12.75">
      <c r="A34" s="10"/>
      <c r="B34" s="10"/>
      <c r="C34" s="10"/>
      <c r="D34" s="10"/>
      <c r="E34" s="10"/>
      <c r="F34" s="10" t="s">
        <v>521</v>
      </c>
      <c r="G34" s="34">
        <v>69.3</v>
      </c>
    </row>
    <row r="35" spans="1:7" ht="12.75">
      <c r="A35" s="10"/>
      <c r="B35" s="10"/>
      <c r="C35" s="10"/>
      <c r="D35" s="10"/>
      <c r="E35" s="10"/>
      <c r="F35" s="10" t="s">
        <v>66</v>
      </c>
      <c r="G35" s="34">
        <v>60</v>
      </c>
    </row>
    <row r="36" spans="1:8" ht="12.75">
      <c r="A36" s="10" t="s">
        <v>18</v>
      </c>
      <c r="B36" s="10"/>
      <c r="C36" s="10" t="s">
        <v>139</v>
      </c>
      <c r="D36" s="10" t="s">
        <v>278</v>
      </c>
      <c r="E36" s="10" t="s">
        <v>430</v>
      </c>
      <c r="G36" s="34">
        <v>3</v>
      </c>
      <c r="H36" s="56" t="s">
        <v>449</v>
      </c>
    </row>
    <row r="37" spans="4:7" ht="12.75">
      <c r="D37" s="28" t="s">
        <v>279</v>
      </c>
      <c r="F37" s="10" t="s">
        <v>9</v>
      </c>
      <c r="G37" s="34">
        <v>3</v>
      </c>
    </row>
    <row r="38" spans="1:8" ht="12.75">
      <c r="A38" s="10" t="s">
        <v>19</v>
      </c>
      <c r="B38" s="10"/>
      <c r="C38" s="10" t="s">
        <v>139</v>
      </c>
      <c r="D38" s="10" t="s">
        <v>280</v>
      </c>
      <c r="E38" s="10" t="s">
        <v>430</v>
      </c>
      <c r="G38" s="34">
        <v>14</v>
      </c>
      <c r="H38" s="56" t="s">
        <v>449</v>
      </c>
    </row>
    <row r="39" spans="4:7" ht="12.75">
      <c r="D39" s="28" t="s">
        <v>279</v>
      </c>
      <c r="F39" s="10" t="s">
        <v>20</v>
      </c>
      <c r="G39" s="34">
        <v>14</v>
      </c>
    </row>
    <row r="40" spans="1:8" ht="12.75">
      <c r="A40" s="10" t="s">
        <v>20</v>
      </c>
      <c r="B40" s="10"/>
      <c r="C40" s="10" t="s">
        <v>140</v>
      </c>
      <c r="D40" s="10" t="s">
        <v>282</v>
      </c>
      <c r="E40" s="10" t="s">
        <v>429</v>
      </c>
      <c r="F40" s="10" t="s">
        <v>522</v>
      </c>
      <c r="G40" s="34">
        <v>161.33</v>
      </c>
      <c r="H40" s="56" t="s">
        <v>450</v>
      </c>
    </row>
    <row r="41" spans="1:8" ht="12.75">
      <c r="A41" s="10" t="s">
        <v>21</v>
      </c>
      <c r="B41" s="10"/>
      <c r="C41" s="10" t="s">
        <v>141</v>
      </c>
      <c r="D41" s="10" t="s">
        <v>284</v>
      </c>
      <c r="E41" s="10" t="s">
        <v>429</v>
      </c>
      <c r="F41" s="10" t="s">
        <v>523</v>
      </c>
      <c r="G41" s="34">
        <v>1332.73</v>
      </c>
      <c r="H41" s="56" t="s">
        <v>449</v>
      </c>
    </row>
    <row r="42" spans="1:8" ht="12.75">
      <c r="A42" s="10" t="s">
        <v>22</v>
      </c>
      <c r="B42" s="10"/>
      <c r="C42" s="10" t="s">
        <v>142</v>
      </c>
      <c r="D42" s="10" t="s">
        <v>285</v>
      </c>
      <c r="E42" s="10" t="s">
        <v>426</v>
      </c>
      <c r="G42" s="34">
        <v>22.3</v>
      </c>
      <c r="H42" s="56" t="s">
        <v>449</v>
      </c>
    </row>
    <row r="43" spans="4:7" ht="12.75">
      <c r="D43" s="28" t="s">
        <v>286</v>
      </c>
      <c r="F43" s="10" t="s">
        <v>524</v>
      </c>
      <c r="G43" s="34">
        <v>3.5</v>
      </c>
    </row>
    <row r="44" spans="1:8" ht="12.75">
      <c r="A44" s="10" t="s">
        <v>23</v>
      </c>
      <c r="B44" s="10"/>
      <c r="C44" s="10"/>
      <c r="D44" s="10"/>
      <c r="E44" s="10"/>
      <c r="G44" s="34">
        <v>0</v>
      </c>
      <c r="H44" s="56"/>
    </row>
    <row r="45" spans="6:7" ht="12.75">
      <c r="F45" s="10" t="s">
        <v>525</v>
      </c>
      <c r="G45" s="34">
        <v>65.43</v>
      </c>
    </row>
    <row r="46" spans="1:7" ht="12.75">
      <c r="A46" s="10"/>
      <c r="B46" s="10"/>
      <c r="C46" s="10"/>
      <c r="D46" s="10"/>
      <c r="E46" s="10"/>
      <c r="F46" s="10" t="s">
        <v>526</v>
      </c>
      <c r="G46" s="34">
        <v>4.5</v>
      </c>
    </row>
    <row r="47" spans="1:7" ht="12.75">
      <c r="A47" s="10"/>
      <c r="B47" s="10"/>
      <c r="C47" s="10"/>
      <c r="D47" s="10"/>
      <c r="E47" s="10"/>
      <c r="F47" s="10" t="s">
        <v>527</v>
      </c>
      <c r="G47" s="34">
        <v>3.4</v>
      </c>
    </row>
    <row r="48" spans="1:7" ht="12.75">
      <c r="A48" s="10"/>
      <c r="B48" s="10"/>
      <c r="C48" s="10"/>
      <c r="D48" s="10"/>
      <c r="E48" s="10"/>
      <c r="F48" s="10" t="s">
        <v>528</v>
      </c>
      <c r="G48" s="34">
        <v>5.4</v>
      </c>
    </row>
    <row r="49" spans="1:7" ht="12.75">
      <c r="A49" s="10"/>
      <c r="B49" s="10"/>
      <c r="C49" s="10"/>
      <c r="D49" s="10"/>
      <c r="E49" s="10"/>
      <c r="F49" s="10" t="s">
        <v>529</v>
      </c>
      <c r="G49" s="34">
        <v>5.5</v>
      </c>
    </row>
    <row r="50" spans="1:8" ht="12.75">
      <c r="A50" s="10" t="s">
        <v>24</v>
      </c>
      <c r="B50" s="10"/>
      <c r="C50" s="10" t="s">
        <v>143</v>
      </c>
      <c r="D50" s="10" t="s">
        <v>287</v>
      </c>
      <c r="E50" s="10" t="s">
        <v>429</v>
      </c>
      <c r="G50" s="34">
        <v>20</v>
      </c>
      <c r="H50" s="56" t="s">
        <v>449</v>
      </c>
    </row>
    <row r="51" spans="4:7" ht="12.75">
      <c r="D51" s="28" t="s">
        <v>286</v>
      </c>
      <c r="F51" s="10" t="s">
        <v>26</v>
      </c>
      <c r="G51" s="34">
        <v>20</v>
      </c>
    </row>
    <row r="52" spans="1:8" ht="12.75">
      <c r="A52" s="10" t="s">
        <v>25</v>
      </c>
      <c r="B52" s="10"/>
      <c r="C52" s="10" t="s">
        <v>144</v>
      </c>
      <c r="D52" s="10" t="s">
        <v>289</v>
      </c>
      <c r="E52" s="10" t="s">
        <v>429</v>
      </c>
      <c r="G52" s="34">
        <v>15.08</v>
      </c>
      <c r="H52" s="56" t="s">
        <v>449</v>
      </c>
    </row>
    <row r="53" spans="4:7" ht="12.75">
      <c r="D53" s="28" t="s">
        <v>290</v>
      </c>
      <c r="F53" s="10" t="s">
        <v>530</v>
      </c>
      <c r="G53" s="34">
        <v>15.08</v>
      </c>
    </row>
    <row r="54" spans="1:8" ht="12.75">
      <c r="A54" s="10" t="s">
        <v>26</v>
      </c>
      <c r="B54" s="10"/>
      <c r="C54" s="10" t="s">
        <v>145</v>
      </c>
      <c r="D54" s="10" t="s">
        <v>291</v>
      </c>
      <c r="E54" s="10" t="s">
        <v>429</v>
      </c>
      <c r="G54" s="34">
        <v>13.05</v>
      </c>
      <c r="H54" s="56" t="s">
        <v>449</v>
      </c>
    </row>
    <row r="55" spans="4:7" ht="12.75">
      <c r="D55" s="28" t="s">
        <v>292</v>
      </c>
      <c r="F55" s="10" t="s">
        <v>531</v>
      </c>
      <c r="G55" s="34">
        <v>13.05</v>
      </c>
    </row>
    <row r="56" spans="1:8" ht="12.75">
      <c r="A56" s="10" t="s">
        <v>27</v>
      </c>
      <c r="B56" s="10"/>
      <c r="C56" s="10" t="s">
        <v>146</v>
      </c>
      <c r="D56" s="10" t="s">
        <v>293</v>
      </c>
      <c r="E56" s="10" t="s">
        <v>429</v>
      </c>
      <c r="G56" s="34">
        <v>2.03</v>
      </c>
      <c r="H56" s="56" t="s">
        <v>449</v>
      </c>
    </row>
    <row r="57" spans="4:7" ht="12.75">
      <c r="D57" s="28" t="s">
        <v>294</v>
      </c>
      <c r="F57" s="10" t="s">
        <v>532</v>
      </c>
      <c r="G57" s="34">
        <v>2.03</v>
      </c>
    </row>
    <row r="58" spans="1:8" ht="12.75">
      <c r="A58" s="10" t="s">
        <v>28</v>
      </c>
      <c r="B58" s="10"/>
      <c r="C58" s="10" t="s">
        <v>147</v>
      </c>
      <c r="D58" s="10" t="s">
        <v>296</v>
      </c>
      <c r="E58" s="10" t="s">
        <v>430</v>
      </c>
      <c r="G58" s="34">
        <v>23</v>
      </c>
      <c r="H58" s="56" t="s">
        <v>449</v>
      </c>
    </row>
    <row r="59" spans="4:7" ht="12.75">
      <c r="D59" s="28" t="s">
        <v>297</v>
      </c>
      <c r="F59" s="10" t="s">
        <v>29</v>
      </c>
      <c r="G59" s="34">
        <v>23</v>
      </c>
    </row>
    <row r="60" spans="1:8" ht="12.75">
      <c r="A60" s="10" t="s">
        <v>29</v>
      </c>
      <c r="B60" s="10"/>
      <c r="C60" s="10" t="s">
        <v>148</v>
      </c>
      <c r="D60" s="10" t="s">
        <v>298</v>
      </c>
      <c r="E60" s="10" t="s">
        <v>430</v>
      </c>
      <c r="G60" s="34">
        <v>29</v>
      </c>
      <c r="H60" s="56" t="s">
        <v>449</v>
      </c>
    </row>
    <row r="61" spans="4:7" ht="12.75">
      <c r="D61" s="28" t="s">
        <v>299</v>
      </c>
      <c r="F61" s="10" t="s">
        <v>35</v>
      </c>
      <c r="G61" s="34">
        <v>29</v>
      </c>
    </row>
    <row r="62" spans="1:8" ht="12.75">
      <c r="A62" s="10" t="s">
        <v>30</v>
      </c>
      <c r="B62" s="10"/>
      <c r="C62" s="10" t="s">
        <v>149</v>
      </c>
      <c r="D62" s="10" t="s">
        <v>300</v>
      </c>
      <c r="E62" s="10" t="s">
        <v>430</v>
      </c>
      <c r="F62" s="10" t="s">
        <v>533</v>
      </c>
      <c r="G62" s="34">
        <v>52</v>
      </c>
      <c r="H62" s="56" t="s">
        <v>449</v>
      </c>
    </row>
    <row r="63" spans="1:8" ht="12.75">
      <c r="A63" s="12" t="s">
        <v>31</v>
      </c>
      <c r="B63" s="12"/>
      <c r="C63" s="12" t="s">
        <v>150</v>
      </c>
      <c r="D63" s="12" t="s">
        <v>301</v>
      </c>
      <c r="E63" s="12" t="s">
        <v>430</v>
      </c>
      <c r="F63" s="12" t="s">
        <v>29</v>
      </c>
      <c r="G63" s="35">
        <v>23</v>
      </c>
      <c r="H63" s="57" t="s">
        <v>449</v>
      </c>
    </row>
    <row r="64" spans="1:8" ht="12.75">
      <c r="A64" s="12" t="s">
        <v>32</v>
      </c>
      <c r="B64" s="12"/>
      <c r="C64" s="12" t="s">
        <v>151</v>
      </c>
      <c r="D64" s="12" t="s">
        <v>302</v>
      </c>
      <c r="E64" s="12" t="s">
        <v>430</v>
      </c>
      <c r="F64" s="12" t="s">
        <v>35</v>
      </c>
      <c r="G64" s="35">
        <v>29</v>
      </c>
      <c r="H64" s="57" t="s">
        <v>449</v>
      </c>
    </row>
    <row r="65" spans="1:8" ht="12.75">
      <c r="A65" s="10" t="s">
        <v>33</v>
      </c>
      <c r="B65" s="10"/>
      <c r="C65" s="10" t="s">
        <v>152</v>
      </c>
      <c r="D65" s="10" t="s">
        <v>303</v>
      </c>
      <c r="E65" s="10" t="s">
        <v>430</v>
      </c>
      <c r="G65" s="34">
        <v>16</v>
      </c>
      <c r="H65" s="56" t="s">
        <v>449</v>
      </c>
    </row>
    <row r="66" spans="4:7" ht="12.75">
      <c r="D66" s="28" t="s">
        <v>304</v>
      </c>
      <c r="F66" s="10" t="s">
        <v>22</v>
      </c>
      <c r="G66" s="34">
        <v>16</v>
      </c>
    </row>
    <row r="67" spans="1:8" ht="12.75">
      <c r="A67" s="10" t="s">
        <v>34</v>
      </c>
      <c r="B67" s="10"/>
      <c r="C67" s="10" t="s">
        <v>153</v>
      </c>
      <c r="D67" s="10" t="s">
        <v>305</v>
      </c>
      <c r="E67" s="10" t="s">
        <v>430</v>
      </c>
      <c r="G67" s="34">
        <v>2</v>
      </c>
      <c r="H67" s="56" t="s">
        <v>449</v>
      </c>
    </row>
    <row r="68" spans="4:7" ht="12.75">
      <c r="D68" s="28" t="s">
        <v>306</v>
      </c>
      <c r="F68" s="10" t="s">
        <v>8</v>
      </c>
      <c r="G68" s="34">
        <v>2</v>
      </c>
    </row>
    <row r="69" spans="1:8" ht="12.75">
      <c r="A69" s="10" t="s">
        <v>35</v>
      </c>
      <c r="B69" s="10"/>
      <c r="C69" s="10" t="s">
        <v>154</v>
      </c>
      <c r="D69" s="10" t="s">
        <v>307</v>
      </c>
      <c r="E69" s="10" t="s">
        <v>430</v>
      </c>
      <c r="F69" s="10" t="s">
        <v>534</v>
      </c>
      <c r="G69" s="34">
        <v>18</v>
      </c>
      <c r="H69" s="56" t="s">
        <v>449</v>
      </c>
    </row>
    <row r="70" spans="1:8" ht="12.75">
      <c r="A70" s="12" t="s">
        <v>36</v>
      </c>
      <c r="B70" s="12"/>
      <c r="C70" s="12" t="s">
        <v>155</v>
      </c>
      <c r="D70" s="12" t="s">
        <v>308</v>
      </c>
      <c r="E70" s="12" t="s">
        <v>430</v>
      </c>
      <c r="F70" s="12" t="s">
        <v>22</v>
      </c>
      <c r="G70" s="35">
        <v>16</v>
      </c>
      <c r="H70" s="57" t="s">
        <v>449</v>
      </c>
    </row>
    <row r="71" spans="1:8" ht="12.75">
      <c r="A71" s="12" t="s">
        <v>37</v>
      </c>
      <c r="B71" s="12"/>
      <c r="C71" s="12" t="s">
        <v>155</v>
      </c>
      <c r="D71" s="12" t="s">
        <v>309</v>
      </c>
      <c r="E71" s="12" t="s">
        <v>430</v>
      </c>
      <c r="F71" s="12" t="s">
        <v>8</v>
      </c>
      <c r="G71" s="35">
        <v>2</v>
      </c>
      <c r="H71" s="57" t="s">
        <v>449</v>
      </c>
    </row>
    <row r="72" spans="1:8" ht="12.75">
      <c r="A72" s="10" t="s">
        <v>38</v>
      </c>
      <c r="B72" s="10"/>
      <c r="C72" s="10" t="s">
        <v>156</v>
      </c>
      <c r="D72" s="10" t="s">
        <v>310</v>
      </c>
      <c r="E72" s="10" t="s">
        <v>430</v>
      </c>
      <c r="F72" s="10" t="s">
        <v>24</v>
      </c>
      <c r="G72" s="34">
        <v>18</v>
      </c>
      <c r="H72" s="56" t="s">
        <v>449</v>
      </c>
    </row>
    <row r="73" spans="1:8" ht="12.75">
      <c r="A73" s="10" t="s">
        <v>39</v>
      </c>
      <c r="B73" s="10"/>
      <c r="C73" s="10" t="s">
        <v>157</v>
      </c>
      <c r="D73" s="10" t="s">
        <v>311</v>
      </c>
      <c r="E73" s="10" t="s">
        <v>426</v>
      </c>
      <c r="F73" s="10" t="s">
        <v>535</v>
      </c>
      <c r="G73" s="34">
        <v>67.2</v>
      </c>
      <c r="H73" s="56" t="s">
        <v>449</v>
      </c>
    </row>
    <row r="74" spans="1:8" ht="12.75">
      <c r="A74" s="10" t="s">
        <v>40</v>
      </c>
      <c r="B74" s="10"/>
      <c r="C74" s="10" t="s">
        <v>158</v>
      </c>
      <c r="D74" s="10" t="s">
        <v>312</v>
      </c>
      <c r="E74" s="10" t="s">
        <v>430</v>
      </c>
      <c r="F74" s="10" t="s">
        <v>536</v>
      </c>
      <c r="G74" s="34">
        <v>15</v>
      </c>
      <c r="H74" s="56" t="s">
        <v>449</v>
      </c>
    </row>
    <row r="75" spans="1:8" ht="12.75">
      <c r="A75" s="10" t="s">
        <v>41</v>
      </c>
      <c r="B75" s="10"/>
      <c r="C75" s="10" t="s">
        <v>159</v>
      </c>
      <c r="D75" s="10" t="s">
        <v>313</v>
      </c>
      <c r="E75" s="10" t="s">
        <v>426</v>
      </c>
      <c r="G75" s="34">
        <v>50.25</v>
      </c>
      <c r="H75" s="56" t="s">
        <v>449</v>
      </c>
    </row>
    <row r="76" spans="4:7" ht="12.75">
      <c r="D76" s="28" t="s">
        <v>314</v>
      </c>
      <c r="F76" s="10" t="s">
        <v>537</v>
      </c>
      <c r="G76" s="34">
        <v>50.25</v>
      </c>
    </row>
    <row r="77" spans="1:8" ht="12.75">
      <c r="A77" s="10" t="s">
        <v>42</v>
      </c>
      <c r="B77" s="10"/>
      <c r="C77" s="10" t="s">
        <v>160</v>
      </c>
      <c r="D77" s="10" t="s">
        <v>315</v>
      </c>
      <c r="E77" s="10" t="s">
        <v>430</v>
      </c>
      <c r="F77" s="10" t="s">
        <v>21</v>
      </c>
      <c r="G77" s="34">
        <v>15</v>
      </c>
      <c r="H77" s="56" t="s">
        <v>449</v>
      </c>
    </row>
    <row r="78" spans="1:8" ht="12.75">
      <c r="A78" s="10" t="s">
        <v>43</v>
      </c>
      <c r="B78" s="10"/>
      <c r="C78" s="10" t="s">
        <v>161</v>
      </c>
      <c r="D78" s="10" t="s">
        <v>316</v>
      </c>
      <c r="E78" s="10" t="s">
        <v>430</v>
      </c>
      <c r="F78" s="10" t="s">
        <v>21</v>
      </c>
      <c r="G78" s="34">
        <v>15</v>
      </c>
      <c r="H78" s="56" t="s">
        <v>449</v>
      </c>
    </row>
    <row r="79" spans="1:8" ht="12.75">
      <c r="A79" s="10" t="s">
        <v>44</v>
      </c>
      <c r="B79" s="10"/>
      <c r="C79" s="10" t="s">
        <v>162</v>
      </c>
      <c r="D79" s="10" t="s">
        <v>317</v>
      </c>
      <c r="E79" s="10" t="s">
        <v>428</v>
      </c>
      <c r="G79" s="34">
        <v>138.50464</v>
      </c>
      <c r="H79" s="56" t="s">
        <v>449</v>
      </c>
    </row>
    <row r="80" spans="1:8" ht="12.75">
      <c r="A80" s="10" t="s">
        <v>45</v>
      </c>
      <c r="B80" s="10"/>
      <c r="C80" s="10" t="s">
        <v>162</v>
      </c>
      <c r="D80" s="10" t="s">
        <v>317</v>
      </c>
      <c r="E80" s="10" t="s">
        <v>428</v>
      </c>
      <c r="G80" s="34">
        <v>127.34138</v>
      </c>
      <c r="H80" s="56" t="s">
        <v>450</v>
      </c>
    </row>
    <row r="81" spans="1:8" ht="12.75">
      <c r="A81" s="10" t="s">
        <v>46</v>
      </c>
      <c r="B81" s="10"/>
      <c r="C81" s="10" t="s">
        <v>164</v>
      </c>
      <c r="D81" s="10" t="s">
        <v>318</v>
      </c>
      <c r="E81" s="10" t="s">
        <v>431</v>
      </c>
      <c r="F81" s="10" t="s">
        <v>7</v>
      </c>
      <c r="G81" s="34">
        <v>1</v>
      </c>
      <c r="H81" s="56" t="s">
        <v>449</v>
      </c>
    </row>
    <row r="82" spans="1:8" ht="12.75">
      <c r="A82" s="10" t="s">
        <v>47</v>
      </c>
      <c r="B82" s="10"/>
      <c r="C82" s="10" t="s">
        <v>165</v>
      </c>
      <c r="D82" s="10" t="s">
        <v>319</v>
      </c>
      <c r="E82" s="10" t="s">
        <v>428</v>
      </c>
      <c r="G82" s="34">
        <v>0.5</v>
      </c>
      <c r="H82" s="56" t="s">
        <v>449</v>
      </c>
    </row>
    <row r="83" spans="1:8" ht="12.75">
      <c r="A83" s="10" t="s">
        <v>48</v>
      </c>
      <c r="B83" s="10"/>
      <c r="C83" s="10" t="s">
        <v>167</v>
      </c>
      <c r="D83" s="10" t="s">
        <v>320</v>
      </c>
      <c r="E83" s="10" t="s">
        <v>431</v>
      </c>
      <c r="F83" s="10" t="s">
        <v>7</v>
      </c>
      <c r="G83" s="34">
        <v>1</v>
      </c>
      <c r="H83" s="56" t="s">
        <v>449</v>
      </c>
    </row>
    <row r="84" spans="1:8" ht="12.75">
      <c r="A84" s="10" t="s">
        <v>49</v>
      </c>
      <c r="B84" s="10"/>
      <c r="C84" s="10" t="s">
        <v>168</v>
      </c>
      <c r="D84" s="10" t="s">
        <v>321</v>
      </c>
      <c r="E84" s="10" t="s">
        <v>428</v>
      </c>
      <c r="G84" s="34">
        <v>0.3</v>
      </c>
      <c r="H84" s="56" t="s">
        <v>449</v>
      </c>
    </row>
    <row r="85" spans="1:8" ht="12.75">
      <c r="A85" s="10" t="s">
        <v>50</v>
      </c>
      <c r="B85" s="10"/>
      <c r="C85" s="10" t="s">
        <v>170</v>
      </c>
      <c r="D85" s="10" t="s">
        <v>323</v>
      </c>
      <c r="E85" s="10" t="s">
        <v>432</v>
      </c>
      <c r="F85" s="10" t="s">
        <v>20</v>
      </c>
      <c r="G85" s="34">
        <v>14</v>
      </c>
      <c r="H85" s="56" t="s">
        <v>449</v>
      </c>
    </row>
    <row r="86" spans="1:8" ht="12.75">
      <c r="A86" s="10" t="s">
        <v>51</v>
      </c>
      <c r="B86" s="10"/>
      <c r="C86" s="10" t="s">
        <v>171</v>
      </c>
      <c r="D86" s="10" t="s">
        <v>324</v>
      </c>
      <c r="E86" s="10" t="s">
        <v>432</v>
      </c>
      <c r="F86" s="10" t="s">
        <v>18</v>
      </c>
      <c r="G86" s="34">
        <v>12</v>
      </c>
      <c r="H86" s="56" t="s">
        <v>449</v>
      </c>
    </row>
    <row r="87" spans="1:8" ht="12.75">
      <c r="A87" s="10" t="s">
        <v>52</v>
      </c>
      <c r="B87" s="10"/>
      <c r="C87" s="10" t="s">
        <v>172</v>
      </c>
      <c r="D87" s="10" t="s">
        <v>325</v>
      </c>
      <c r="E87" s="10" t="s">
        <v>432</v>
      </c>
      <c r="F87" s="10" t="s">
        <v>10</v>
      </c>
      <c r="G87" s="34">
        <v>4</v>
      </c>
      <c r="H87" s="56" t="s">
        <v>449</v>
      </c>
    </row>
    <row r="88" spans="1:8" ht="12.75">
      <c r="A88" s="12" t="s">
        <v>53</v>
      </c>
      <c r="B88" s="12"/>
      <c r="C88" s="12" t="s">
        <v>173</v>
      </c>
      <c r="D88" s="12" t="s">
        <v>326</v>
      </c>
      <c r="E88" s="12" t="s">
        <v>430</v>
      </c>
      <c r="G88" s="35">
        <v>14</v>
      </c>
      <c r="H88" s="57" t="s">
        <v>449</v>
      </c>
    </row>
    <row r="89" spans="6:7" ht="12.75">
      <c r="F89" s="12" t="s">
        <v>19</v>
      </c>
      <c r="G89" s="35">
        <v>13</v>
      </c>
    </row>
    <row r="90" spans="1:7" ht="12.75">
      <c r="A90" s="12"/>
      <c r="B90" s="12"/>
      <c r="C90" s="12"/>
      <c r="D90" s="12"/>
      <c r="E90" s="12"/>
      <c r="F90" s="12" t="s">
        <v>538</v>
      </c>
      <c r="G90" s="35">
        <v>1</v>
      </c>
    </row>
    <row r="91" spans="1:7" ht="12.75">
      <c r="A91" s="12"/>
      <c r="B91" s="12"/>
      <c r="C91" s="12"/>
      <c r="D91" s="12"/>
      <c r="E91" s="12"/>
      <c r="F91" s="12" t="s">
        <v>539</v>
      </c>
      <c r="G91" s="35">
        <v>0</v>
      </c>
    </row>
    <row r="92" spans="1:8" ht="12.75">
      <c r="A92" s="10" t="s">
        <v>54</v>
      </c>
      <c r="B92" s="10"/>
      <c r="C92" s="10" t="s">
        <v>174</v>
      </c>
      <c r="D92" s="10" t="s">
        <v>327</v>
      </c>
      <c r="E92" s="10" t="s">
        <v>429</v>
      </c>
      <c r="G92" s="34">
        <v>20.99</v>
      </c>
      <c r="H92" s="56" t="s">
        <v>449</v>
      </c>
    </row>
    <row r="93" spans="6:7" ht="12.75">
      <c r="F93" s="10" t="s">
        <v>540</v>
      </c>
      <c r="G93" s="34">
        <v>20.39</v>
      </c>
    </row>
    <row r="94" spans="1:7" ht="12.75">
      <c r="A94" s="10"/>
      <c r="B94" s="10"/>
      <c r="C94" s="10"/>
      <c r="D94" s="10"/>
      <c r="E94" s="10"/>
      <c r="F94" s="10" t="s">
        <v>541</v>
      </c>
      <c r="G94" s="34">
        <v>0.6</v>
      </c>
    </row>
    <row r="95" spans="1:8" ht="12.75">
      <c r="A95" s="12" t="s">
        <v>55</v>
      </c>
      <c r="B95" s="12"/>
      <c r="C95" s="12" t="s">
        <v>175</v>
      </c>
      <c r="D95" s="12" t="s">
        <v>328</v>
      </c>
      <c r="E95" s="12" t="s">
        <v>430</v>
      </c>
      <c r="F95" s="12" t="s">
        <v>19</v>
      </c>
      <c r="G95" s="35">
        <v>13</v>
      </c>
      <c r="H95" s="57" t="s">
        <v>449</v>
      </c>
    </row>
    <row r="96" spans="1:8" ht="12.75">
      <c r="A96" s="10" t="s">
        <v>56</v>
      </c>
      <c r="B96" s="10"/>
      <c r="C96" s="10" t="s">
        <v>176</v>
      </c>
      <c r="D96" s="10" t="s">
        <v>329</v>
      </c>
      <c r="E96" s="10" t="s">
        <v>430</v>
      </c>
      <c r="F96" s="10" t="s">
        <v>19</v>
      </c>
      <c r="G96" s="34">
        <v>13</v>
      </c>
      <c r="H96" s="56" t="s">
        <v>449</v>
      </c>
    </row>
    <row r="97" spans="1:8" ht="12.75">
      <c r="A97" s="10" t="s">
        <v>57</v>
      </c>
      <c r="B97" s="10"/>
      <c r="C97" s="10" t="s">
        <v>177</v>
      </c>
      <c r="D97" s="10" t="s">
        <v>330</v>
      </c>
      <c r="E97" s="10" t="s">
        <v>432</v>
      </c>
      <c r="F97" s="10" t="s">
        <v>7</v>
      </c>
      <c r="G97" s="34">
        <v>1</v>
      </c>
      <c r="H97" s="56" t="s">
        <v>449</v>
      </c>
    </row>
    <row r="98" spans="1:8" ht="12.75">
      <c r="A98" s="10" t="s">
        <v>58</v>
      </c>
      <c r="B98" s="10"/>
      <c r="C98" s="10" t="s">
        <v>178</v>
      </c>
      <c r="D98" s="10" t="s">
        <v>331</v>
      </c>
      <c r="E98" s="10" t="s">
        <v>432</v>
      </c>
      <c r="F98" s="10" t="s">
        <v>7</v>
      </c>
      <c r="G98" s="34">
        <v>1</v>
      </c>
      <c r="H98" s="56" t="s">
        <v>449</v>
      </c>
    </row>
    <row r="99" spans="1:8" ht="12.75">
      <c r="A99" s="10" t="s">
        <v>59</v>
      </c>
      <c r="B99" s="10"/>
      <c r="C99" s="10" t="s">
        <v>179</v>
      </c>
      <c r="D99" s="10" t="s">
        <v>332</v>
      </c>
      <c r="E99" s="10" t="s">
        <v>432</v>
      </c>
      <c r="F99" s="10" t="s">
        <v>7</v>
      </c>
      <c r="G99" s="34">
        <v>1</v>
      </c>
      <c r="H99" s="56" t="s">
        <v>449</v>
      </c>
    </row>
    <row r="100" spans="1:8" ht="12.75">
      <c r="A100" s="10" t="s">
        <v>60</v>
      </c>
      <c r="B100" s="10"/>
      <c r="C100" s="10" t="s">
        <v>180</v>
      </c>
      <c r="D100" s="10" t="s">
        <v>333</v>
      </c>
      <c r="E100" s="10" t="s">
        <v>428</v>
      </c>
      <c r="G100" s="34">
        <v>5.01775</v>
      </c>
      <c r="H100" s="56" t="s">
        <v>449</v>
      </c>
    </row>
    <row r="101" spans="1:8" ht="12.75">
      <c r="A101" s="10" t="s">
        <v>61</v>
      </c>
      <c r="B101" s="10"/>
      <c r="C101" s="10" t="s">
        <v>182</v>
      </c>
      <c r="D101" s="10" t="s">
        <v>334</v>
      </c>
      <c r="E101" s="10" t="s">
        <v>431</v>
      </c>
      <c r="G101" s="34">
        <v>1</v>
      </c>
      <c r="H101" s="56" t="s">
        <v>449</v>
      </c>
    </row>
    <row r="102" spans="4:7" ht="12.75">
      <c r="D102" s="28" t="s">
        <v>335</v>
      </c>
      <c r="F102" s="10" t="s">
        <v>7</v>
      </c>
      <c r="G102" s="34">
        <v>1</v>
      </c>
    </row>
    <row r="103" spans="1:8" ht="12.75">
      <c r="A103" s="10" t="s">
        <v>62</v>
      </c>
      <c r="B103" s="10"/>
      <c r="C103" s="10" t="s">
        <v>184</v>
      </c>
      <c r="D103" s="10" t="s">
        <v>337</v>
      </c>
      <c r="E103" s="10" t="s">
        <v>431</v>
      </c>
      <c r="F103" s="10" t="s">
        <v>7</v>
      </c>
      <c r="G103" s="34">
        <v>1</v>
      </c>
      <c r="H103" s="56" t="s">
        <v>449</v>
      </c>
    </row>
    <row r="104" spans="1:8" ht="12.75">
      <c r="A104" s="10" t="s">
        <v>63</v>
      </c>
      <c r="B104" s="10"/>
      <c r="C104" s="10" t="s">
        <v>185</v>
      </c>
      <c r="D104" s="10" t="s">
        <v>338</v>
      </c>
      <c r="E104" s="10" t="s">
        <v>428</v>
      </c>
      <c r="G104" s="34">
        <v>0.5</v>
      </c>
      <c r="H104" s="56" t="s">
        <v>449</v>
      </c>
    </row>
    <row r="105" spans="1:8" ht="12.75">
      <c r="A105" s="10" t="s">
        <v>64</v>
      </c>
      <c r="B105" s="10"/>
      <c r="C105" s="10" t="s">
        <v>187</v>
      </c>
      <c r="D105" s="10" t="s">
        <v>340</v>
      </c>
      <c r="E105" s="10" t="s">
        <v>426</v>
      </c>
      <c r="F105" s="10" t="s">
        <v>542</v>
      </c>
      <c r="G105" s="34">
        <v>6.75</v>
      </c>
      <c r="H105" s="56" t="s">
        <v>449</v>
      </c>
    </row>
    <row r="106" spans="1:8" ht="12.75">
      <c r="A106" s="12" t="s">
        <v>65</v>
      </c>
      <c r="B106" s="12"/>
      <c r="C106" s="12" t="s">
        <v>188</v>
      </c>
      <c r="D106" s="12" t="s">
        <v>341</v>
      </c>
      <c r="E106" s="12" t="s">
        <v>426</v>
      </c>
      <c r="G106" s="35">
        <v>6.89</v>
      </c>
      <c r="H106" s="57" t="s">
        <v>449</v>
      </c>
    </row>
    <row r="107" spans="6:7" ht="12.75">
      <c r="F107" s="12" t="s">
        <v>543</v>
      </c>
      <c r="G107" s="35">
        <v>6.75</v>
      </c>
    </row>
    <row r="108" spans="1:7" ht="12.75">
      <c r="A108" s="12"/>
      <c r="B108" s="12"/>
      <c r="C108" s="12"/>
      <c r="D108" s="12"/>
      <c r="E108" s="12"/>
      <c r="F108" s="12" t="s">
        <v>544</v>
      </c>
      <c r="G108" s="35">
        <v>0.14</v>
      </c>
    </row>
    <row r="109" spans="1:8" ht="12.75">
      <c r="A109" s="10" t="s">
        <v>66</v>
      </c>
      <c r="B109" s="10"/>
      <c r="C109" s="10" t="s">
        <v>189</v>
      </c>
      <c r="D109" s="10" t="s">
        <v>342</v>
      </c>
      <c r="E109" s="10" t="s">
        <v>428</v>
      </c>
      <c r="G109" s="34">
        <v>0.02157</v>
      </c>
      <c r="H109" s="56" t="s">
        <v>449</v>
      </c>
    </row>
    <row r="110" spans="1:8" ht="12.75">
      <c r="A110" s="10" t="s">
        <v>67</v>
      </c>
      <c r="B110" s="10"/>
      <c r="C110" s="10" t="s">
        <v>191</v>
      </c>
      <c r="D110" s="10" t="s">
        <v>344</v>
      </c>
      <c r="E110" s="10" t="s">
        <v>430</v>
      </c>
      <c r="F110" s="10" t="s">
        <v>16</v>
      </c>
      <c r="G110" s="34">
        <v>10</v>
      </c>
      <c r="H110" s="56" t="s">
        <v>449</v>
      </c>
    </row>
    <row r="111" spans="1:8" ht="12.75">
      <c r="A111" s="10" t="s">
        <v>68</v>
      </c>
      <c r="B111" s="10"/>
      <c r="C111" s="10" t="s">
        <v>192</v>
      </c>
      <c r="D111" s="10" t="s">
        <v>345</v>
      </c>
      <c r="E111" s="10" t="s">
        <v>430</v>
      </c>
      <c r="F111" s="10" t="s">
        <v>12</v>
      </c>
      <c r="G111" s="34">
        <v>6</v>
      </c>
      <c r="H111" s="56" t="s">
        <v>449</v>
      </c>
    </row>
    <row r="112" spans="1:8" ht="12.75">
      <c r="A112" s="12" t="s">
        <v>69</v>
      </c>
      <c r="B112" s="12"/>
      <c r="C112" s="12" t="s">
        <v>193</v>
      </c>
      <c r="D112" s="12" t="s">
        <v>346</v>
      </c>
      <c r="E112" s="12" t="s">
        <v>432</v>
      </c>
      <c r="F112" s="12" t="s">
        <v>7</v>
      </c>
      <c r="G112" s="35">
        <v>1</v>
      </c>
      <c r="H112" s="57" t="s">
        <v>449</v>
      </c>
    </row>
    <row r="113" spans="1:8" ht="12.75">
      <c r="A113" s="12" t="s">
        <v>70</v>
      </c>
      <c r="B113" s="12"/>
      <c r="C113" s="12" t="s">
        <v>194</v>
      </c>
      <c r="D113" s="12" t="s">
        <v>347</v>
      </c>
      <c r="E113" s="12" t="s">
        <v>432</v>
      </c>
      <c r="F113" s="12" t="s">
        <v>8</v>
      </c>
      <c r="G113" s="35">
        <v>2</v>
      </c>
      <c r="H113" s="57" t="s">
        <v>449</v>
      </c>
    </row>
    <row r="114" spans="1:8" ht="12.75">
      <c r="A114" s="12" t="s">
        <v>71</v>
      </c>
      <c r="B114" s="12"/>
      <c r="C114" s="12" t="s">
        <v>195</v>
      </c>
      <c r="D114" s="12" t="s">
        <v>348</v>
      </c>
      <c r="E114" s="12" t="s">
        <v>432</v>
      </c>
      <c r="F114" s="12" t="s">
        <v>9</v>
      </c>
      <c r="G114" s="35">
        <v>3</v>
      </c>
      <c r="H114" s="57" t="s">
        <v>449</v>
      </c>
    </row>
    <row r="115" spans="1:8" ht="12.75">
      <c r="A115" s="10" t="s">
        <v>72</v>
      </c>
      <c r="B115" s="10"/>
      <c r="C115" s="10" t="s">
        <v>196</v>
      </c>
      <c r="D115" s="10" t="s">
        <v>349</v>
      </c>
      <c r="E115" s="10" t="s">
        <v>429</v>
      </c>
      <c r="G115" s="34">
        <v>5.4</v>
      </c>
      <c r="H115" s="56" t="s">
        <v>450</v>
      </c>
    </row>
    <row r="116" spans="4:7" ht="12.75">
      <c r="D116" s="28" t="s">
        <v>350</v>
      </c>
      <c r="F116" s="10" t="s">
        <v>545</v>
      </c>
      <c r="G116" s="34">
        <v>5.4</v>
      </c>
    </row>
    <row r="117" spans="1:8" ht="12.75">
      <c r="A117" s="10" t="s">
        <v>73</v>
      </c>
      <c r="B117" s="10"/>
      <c r="C117" s="10" t="s">
        <v>197</v>
      </c>
      <c r="D117" s="10" t="s">
        <v>351</v>
      </c>
      <c r="E117" s="10" t="s">
        <v>429</v>
      </c>
      <c r="F117" s="10" t="s">
        <v>546</v>
      </c>
      <c r="G117" s="34">
        <v>8.4</v>
      </c>
      <c r="H117" s="56" t="s">
        <v>450</v>
      </c>
    </row>
    <row r="118" spans="1:8" ht="12.75">
      <c r="A118" s="10" t="s">
        <v>74</v>
      </c>
      <c r="B118" s="10"/>
      <c r="C118" s="10" t="s">
        <v>198</v>
      </c>
      <c r="D118" s="10" t="s">
        <v>352</v>
      </c>
      <c r="E118" s="10" t="s">
        <v>429</v>
      </c>
      <c r="G118" s="34">
        <v>3</v>
      </c>
      <c r="H118" s="56" t="s">
        <v>450</v>
      </c>
    </row>
    <row r="119" spans="4:7" ht="12.75">
      <c r="D119" s="28" t="s">
        <v>350</v>
      </c>
      <c r="F119" s="10" t="s">
        <v>9</v>
      </c>
      <c r="G119" s="34">
        <v>3</v>
      </c>
    </row>
    <row r="120" spans="1:8" ht="12.75">
      <c r="A120" s="10" t="s">
        <v>75</v>
      </c>
      <c r="B120" s="10"/>
      <c r="C120" s="10" t="s">
        <v>199</v>
      </c>
      <c r="D120" s="10" t="s">
        <v>353</v>
      </c>
      <c r="E120" s="10" t="s">
        <v>428</v>
      </c>
      <c r="G120" s="34">
        <v>2.6257</v>
      </c>
      <c r="H120" s="56" t="s">
        <v>449</v>
      </c>
    </row>
    <row r="121" spans="1:8" ht="12.75">
      <c r="A121" s="10" t="s">
        <v>76</v>
      </c>
      <c r="B121" s="10"/>
      <c r="C121" s="10" t="s">
        <v>201</v>
      </c>
      <c r="D121" s="10" t="s">
        <v>355</v>
      </c>
      <c r="E121" s="10" t="s">
        <v>433</v>
      </c>
      <c r="F121" s="10" t="s">
        <v>44</v>
      </c>
      <c r="G121" s="34">
        <v>38</v>
      </c>
      <c r="H121" s="56" t="s">
        <v>450</v>
      </c>
    </row>
    <row r="122" spans="1:8" ht="12.75">
      <c r="A122" s="10" t="s">
        <v>77</v>
      </c>
      <c r="B122" s="10"/>
      <c r="C122" s="10" t="s">
        <v>202</v>
      </c>
      <c r="D122" s="10" t="s">
        <v>356</v>
      </c>
      <c r="E122" s="10" t="s">
        <v>428</v>
      </c>
      <c r="G122" s="34">
        <v>0.0399</v>
      </c>
      <c r="H122" s="56" t="s">
        <v>450</v>
      </c>
    </row>
    <row r="123" spans="1:8" ht="12.75">
      <c r="A123" s="10" t="s">
        <v>78</v>
      </c>
      <c r="B123" s="10"/>
      <c r="C123" s="10" t="s">
        <v>204</v>
      </c>
      <c r="D123" s="10" t="s">
        <v>358</v>
      </c>
      <c r="E123" s="10" t="s">
        <v>429</v>
      </c>
      <c r="G123" s="34">
        <v>166.91</v>
      </c>
      <c r="H123" s="56" t="s">
        <v>449</v>
      </c>
    </row>
    <row r="124" spans="4:7" ht="12.75">
      <c r="D124" s="28" t="s">
        <v>359</v>
      </c>
      <c r="F124" s="10" t="s">
        <v>547</v>
      </c>
      <c r="G124" s="34">
        <v>166.91</v>
      </c>
    </row>
    <row r="125" spans="1:8" ht="12.75">
      <c r="A125" s="10" t="s">
        <v>79</v>
      </c>
      <c r="B125" s="10"/>
      <c r="C125" s="10" t="s">
        <v>205</v>
      </c>
      <c r="D125" s="10" t="s">
        <v>360</v>
      </c>
      <c r="E125" s="10" t="s">
        <v>429</v>
      </c>
      <c r="G125" s="34">
        <v>166.91</v>
      </c>
      <c r="H125" s="56" t="s">
        <v>449</v>
      </c>
    </row>
    <row r="126" spans="4:7" ht="12.75">
      <c r="D126" s="28" t="s">
        <v>350</v>
      </c>
      <c r="F126" s="10" t="s">
        <v>548</v>
      </c>
      <c r="G126" s="34">
        <v>166.91</v>
      </c>
    </row>
    <row r="127" spans="1:8" ht="12.75">
      <c r="A127" s="12" t="s">
        <v>80</v>
      </c>
      <c r="B127" s="12"/>
      <c r="C127" s="12" t="s">
        <v>206</v>
      </c>
      <c r="D127" s="12" t="s">
        <v>361</v>
      </c>
      <c r="E127" s="12" t="s">
        <v>429</v>
      </c>
      <c r="G127" s="35">
        <v>171.92</v>
      </c>
      <c r="H127" s="57" t="s">
        <v>449</v>
      </c>
    </row>
    <row r="128" spans="6:7" ht="12.75">
      <c r="F128" s="12" t="s">
        <v>548</v>
      </c>
      <c r="G128" s="35">
        <v>166.91</v>
      </c>
    </row>
    <row r="129" spans="1:7" ht="12.75">
      <c r="A129" s="12"/>
      <c r="B129" s="12"/>
      <c r="C129" s="12"/>
      <c r="D129" s="12"/>
      <c r="E129" s="12"/>
      <c r="F129" s="12" t="s">
        <v>549</v>
      </c>
      <c r="G129" s="35">
        <v>5.01</v>
      </c>
    </row>
    <row r="130" spans="1:8" ht="12.75">
      <c r="A130" s="10" t="s">
        <v>81</v>
      </c>
      <c r="B130" s="10"/>
      <c r="C130" s="10" t="s">
        <v>207</v>
      </c>
      <c r="D130" s="10" t="s">
        <v>362</v>
      </c>
      <c r="E130" s="10" t="s">
        <v>426</v>
      </c>
      <c r="F130" s="10" t="s">
        <v>116</v>
      </c>
      <c r="G130" s="34">
        <v>110</v>
      </c>
      <c r="H130" s="56" t="s">
        <v>449</v>
      </c>
    </row>
    <row r="131" spans="1:8" ht="12.75">
      <c r="A131" s="10" t="s">
        <v>82</v>
      </c>
      <c r="B131" s="10"/>
      <c r="C131" s="10" t="s">
        <v>208</v>
      </c>
      <c r="D131" s="10" t="s">
        <v>363</v>
      </c>
      <c r="E131" s="10" t="s">
        <v>429</v>
      </c>
      <c r="G131" s="34">
        <v>192.3</v>
      </c>
      <c r="H131" s="56" t="s">
        <v>449</v>
      </c>
    </row>
    <row r="132" spans="6:7" ht="12.75">
      <c r="F132" s="10" t="s">
        <v>550</v>
      </c>
      <c r="G132" s="34">
        <v>166.91</v>
      </c>
    </row>
    <row r="133" spans="1:7" ht="12.75">
      <c r="A133" s="10"/>
      <c r="B133" s="10"/>
      <c r="C133" s="10"/>
      <c r="D133" s="10"/>
      <c r="E133" s="10"/>
      <c r="F133" s="10" t="s">
        <v>551</v>
      </c>
      <c r="G133" s="34">
        <v>25.39</v>
      </c>
    </row>
    <row r="134" spans="1:8" ht="12.75">
      <c r="A134" s="10" t="s">
        <v>83</v>
      </c>
      <c r="B134" s="10"/>
      <c r="C134" s="10" t="s">
        <v>209</v>
      </c>
      <c r="D134" s="10" t="s">
        <v>364</v>
      </c>
      <c r="E134" s="10" t="s">
        <v>428</v>
      </c>
      <c r="G134" s="34">
        <v>18.2744</v>
      </c>
      <c r="H134" s="56" t="s">
        <v>449</v>
      </c>
    </row>
    <row r="135" spans="1:8" ht="12.75">
      <c r="A135" s="10" t="s">
        <v>84</v>
      </c>
      <c r="B135" s="10"/>
      <c r="C135" s="10" t="s">
        <v>211</v>
      </c>
      <c r="D135" s="10" t="s">
        <v>366</v>
      </c>
      <c r="E135" s="10" t="s">
        <v>429</v>
      </c>
      <c r="G135" s="34">
        <v>25.39</v>
      </c>
      <c r="H135" s="56" t="s">
        <v>449</v>
      </c>
    </row>
    <row r="136" spans="4:7" ht="12.75">
      <c r="D136" s="28" t="s">
        <v>367</v>
      </c>
      <c r="F136" s="10" t="s">
        <v>552</v>
      </c>
      <c r="G136" s="34">
        <v>25.39</v>
      </c>
    </row>
    <row r="137" spans="1:8" ht="12.75">
      <c r="A137" s="12" t="s">
        <v>85</v>
      </c>
      <c r="B137" s="12"/>
      <c r="C137" s="12" t="s">
        <v>212</v>
      </c>
      <c r="D137" s="12" t="s">
        <v>368</v>
      </c>
      <c r="E137" s="12" t="s">
        <v>429</v>
      </c>
      <c r="G137" s="35">
        <v>26.15</v>
      </c>
      <c r="H137" s="57" t="s">
        <v>449</v>
      </c>
    </row>
    <row r="138" spans="6:7" ht="12.75">
      <c r="F138" s="12" t="s">
        <v>553</v>
      </c>
      <c r="G138" s="35">
        <v>25.39</v>
      </c>
    </row>
    <row r="139" spans="1:7" ht="12.75">
      <c r="A139" s="12"/>
      <c r="B139" s="12"/>
      <c r="C139" s="12"/>
      <c r="D139" s="12"/>
      <c r="E139" s="12"/>
      <c r="F139" s="12" t="s">
        <v>554</v>
      </c>
      <c r="G139" s="35">
        <v>0.76</v>
      </c>
    </row>
    <row r="140" spans="1:8" ht="12.75">
      <c r="A140" s="10" t="s">
        <v>86</v>
      </c>
      <c r="B140" s="10"/>
      <c r="C140" s="10" t="s">
        <v>213</v>
      </c>
      <c r="D140" s="10" t="s">
        <v>369</v>
      </c>
      <c r="E140" s="10" t="s">
        <v>426</v>
      </c>
      <c r="F140" s="10" t="s">
        <v>555</v>
      </c>
      <c r="G140" s="34">
        <v>20.8</v>
      </c>
      <c r="H140" s="56" t="s">
        <v>450</v>
      </c>
    </row>
    <row r="141" spans="1:8" ht="12.75">
      <c r="A141" s="10" t="s">
        <v>87</v>
      </c>
      <c r="B141" s="10"/>
      <c r="C141" s="10" t="s">
        <v>214</v>
      </c>
      <c r="D141" s="10" t="s">
        <v>370</v>
      </c>
      <c r="E141" s="10" t="s">
        <v>428</v>
      </c>
      <c r="G141" s="34">
        <v>0.0829</v>
      </c>
      <c r="H141" s="56" t="s">
        <v>449</v>
      </c>
    </row>
    <row r="142" spans="1:8" ht="12.75">
      <c r="A142" s="10" t="s">
        <v>88</v>
      </c>
      <c r="B142" s="10"/>
      <c r="C142" s="10" t="s">
        <v>216</v>
      </c>
      <c r="D142" s="10" t="s">
        <v>372</v>
      </c>
      <c r="E142" s="10" t="s">
        <v>429</v>
      </c>
      <c r="G142" s="34">
        <v>459.43</v>
      </c>
      <c r="H142" s="56" t="s">
        <v>449</v>
      </c>
    </row>
    <row r="143" spans="4:7" ht="12.75">
      <c r="D143" s="28" t="s">
        <v>359</v>
      </c>
      <c r="F143" s="10" t="s">
        <v>556</v>
      </c>
      <c r="G143" s="34">
        <v>82.81</v>
      </c>
    </row>
    <row r="144" spans="1:7" ht="12.75">
      <c r="A144" s="10"/>
      <c r="B144" s="10"/>
      <c r="C144" s="10"/>
      <c r="D144" s="10"/>
      <c r="E144" s="10"/>
      <c r="F144" s="10" t="s">
        <v>557</v>
      </c>
      <c r="G144" s="34">
        <v>95.39</v>
      </c>
    </row>
    <row r="145" spans="1:7" ht="12.75">
      <c r="A145" s="10"/>
      <c r="B145" s="10"/>
      <c r="C145" s="10"/>
      <c r="D145" s="10"/>
      <c r="E145" s="10"/>
      <c r="F145" s="10" t="s">
        <v>558</v>
      </c>
      <c r="G145" s="34">
        <v>69.48</v>
      </c>
    </row>
    <row r="146" spans="1:7" ht="12.75">
      <c r="A146" s="10"/>
      <c r="B146" s="10"/>
      <c r="C146" s="10"/>
      <c r="D146" s="10"/>
      <c r="E146" s="10"/>
      <c r="F146" s="10" t="s">
        <v>559</v>
      </c>
      <c r="G146" s="34">
        <v>68.18</v>
      </c>
    </row>
    <row r="147" spans="1:7" ht="12.75">
      <c r="A147" s="10"/>
      <c r="B147" s="10"/>
      <c r="C147" s="10"/>
      <c r="D147" s="10"/>
      <c r="E147" s="10"/>
      <c r="F147" s="10" t="s">
        <v>560</v>
      </c>
      <c r="G147" s="34">
        <v>71.26</v>
      </c>
    </row>
    <row r="148" spans="1:7" ht="12.75">
      <c r="A148" s="10"/>
      <c r="B148" s="10"/>
      <c r="C148" s="10"/>
      <c r="D148" s="10"/>
      <c r="E148" s="10"/>
      <c r="F148" s="10" t="s">
        <v>561</v>
      </c>
      <c r="G148" s="34">
        <v>72.31</v>
      </c>
    </row>
    <row r="149" spans="1:8" ht="12.75">
      <c r="A149" s="10" t="s">
        <v>89</v>
      </c>
      <c r="B149" s="10"/>
      <c r="C149" s="10" t="s">
        <v>217</v>
      </c>
      <c r="D149" s="10" t="s">
        <v>373</v>
      </c>
      <c r="E149" s="10" t="s">
        <v>429</v>
      </c>
      <c r="G149" s="34">
        <v>459.43</v>
      </c>
      <c r="H149" s="56" t="s">
        <v>449</v>
      </c>
    </row>
    <row r="150" spans="4:7" ht="12.75">
      <c r="D150" s="28" t="s">
        <v>374</v>
      </c>
      <c r="F150" s="10" t="s">
        <v>562</v>
      </c>
      <c r="G150" s="34">
        <v>459.43</v>
      </c>
    </row>
    <row r="151" spans="1:8" ht="12.75">
      <c r="A151" s="12" t="s">
        <v>90</v>
      </c>
      <c r="B151" s="12"/>
      <c r="C151" s="12" t="s">
        <v>218</v>
      </c>
      <c r="D151" s="12" t="s">
        <v>375</v>
      </c>
      <c r="E151" s="12" t="s">
        <v>429</v>
      </c>
      <c r="G151" s="35">
        <v>243.37</v>
      </c>
      <c r="H151" s="57" t="s">
        <v>449</v>
      </c>
    </row>
    <row r="152" spans="6:7" ht="12.75">
      <c r="F152" s="12" t="s">
        <v>563</v>
      </c>
      <c r="G152" s="35">
        <v>243.37</v>
      </c>
    </row>
    <row r="153" spans="1:7" ht="12.75">
      <c r="A153" s="12"/>
      <c r="B153" s="12"/>
      <c r="C153" s="12"/>
      <c r="D153" s="12"/>
      <c r="E153" s="12"/>
      <c r="F153" s="12" t="s">
        <v>539</v>
      </c>
      <c r="G153" s="35">
        <v>0</v>
      </c>
    </row>
    <row r="154" spans="1:8" ht="12.75">
      <c r="A154" s="12" t="s">
        <v>91</v>
      </c>
      <c r="B154" s="12"/>
      <c r="C154" s="12" t="s">
        <v>219</v>
      </c>
      <c r="D154" s="12" t="s">
        <v>376</v>
      </c>
      <c r="E154" s="12" t="s">
        <v>429</v>
      </c>
      <c r="G154" s="35">
        <v>180.92</v>
      </c>
      <c r="H154" s="57" t="s">
        <v>449</v>
      </c>
    </row>
    <row r="155" spans="6:7" ht="12.75">
      <c r="F155" s="12" t="s">
        <v>564</v>
      </c>
      <c r="G155" s="35">
        <v>177.11</v>
      </c>
    </row>
    <row r="156" spans="1:7" ht="12.75">
      <c r="A156" s="12"/>
      <c r="B156" s="12"/>
      <c r="C156" s="12"/>
      <c r="D156" s="12"/>
      <c r="E156" s="12"/>
      <c r="F156" s="12" t="s">
        <v>565</v>
      </c>
      <c r="G156" s="35">
        <v>3.81</v>
      </c>
    </row>
    <row r="157" spans="1:8" ht="12.75">
      <c r="A157" s="12" t="s">
        <v>92</v>
      </c>
      <c r="B157" s="12"/>
      <c r="C157" s="12" t="s">
        <v>220</v>
      </c>
      <c r="D157" s="12" t="s">
        <v>377</v>
      </c>
      <c r="E157" s="12" t="s">
        <v>429</v>
      </c>
      <c r="G157" s="35">
        <v>20.79</v>
      </c>
      <c r="H157" s="57" t="s">
        <v>449</v>
      </c>
    </row>
    <row r="158" spans="1:8" ht="12.75">
      <c r="A158" s="12" t="s">
        <v>93</v>
      </c>
      <c r="B158" s="12"/>
      <c r="C158" s="12" t="s">
        <v>221</v>
      </c>
      <c r="D158" s="12" t="s">
        <v>378</v>
      </c>
      <c r="E158" s="12" t="s">
        <v>429</v>
      </c>
      <c r="G158" s="35">
        <v>32.12</v>
      </c>
      <c r="H158" s="57" t="s">
        <v>449</v>
      </c>
    </row>
    <row r="159" spans="6:7" ht="12.75">
      <c r="F159" s="12" t="s">
        <v>566</v>
      </c>
      <c r="G159" s="35">
        <v>31.18</v>
      </c>
    </row>
    <row r="160" spans="1:7" ht="12.75">
      <c r="A160" s="12"/>
      <c r="B160" s="12"/>
      <c r="C160" s="12"/>
      <c r="D160" s="12"/>
      <c r="E160" s="12"/>
      <c r="F160" s="12" t="s">
        <v>567</v>
      </c>
      <c r="G160" s="35">
        <v>0.94</v>
      </c>
    </row>
    <row r="161" spans="1:8" ht="12.75">
      <c r="A161" s="10" t="s">
        <v>94</v>
      </c>
      <c r="B161" s="10"/>
      <c r="C161" s="10" t="s">
        <v>222</v>
      </c>
      <c r="D161" s="10" t="s">
        <v>379</v>
      </c>
      <c r="E161" s="10" t="s">
        <v>426</v>
      </c>
      <c r="G161" s="34">
        <v>19.05</v>
      </c>
      <c r="H161" s="56" t="s">
        <v>449</v>
      </c>
    </row>
    <row r="162" spans="4:7" ht="12.75">
      <c r="D162" s="28" t="s">
        <v>380</v>
      </c>
      <c r="F162" s="10" t="s">
        <v>568</v>
      </c>
      <c r="G162" s="34">
        <v>19.05</v>
      </c>
    </row>
    <row r="163" spans="1:8" ht="12.75">
      <c r="A163" s="10" t="s">
        <v>95</v>
      </c>
      <c r="B163" s="10"/>
      <c r="C163" s="10" t="s">
        <v>223</v>
      </c>
      <c r="D163" s="10" t="s">
        <v>381</v>
      </c>
      <c r="E163" s="10" t="s">
        <v>428</v>
      </c>
      <c r="G163" s="34">
        <v>11.20279</v>
      </c>
      <c r="H163" s="56" t="s">
        <v>449</v>
      </c>
    </row>
    <row r="164" spans="1:8" ht="12.75">
      <c r="A164" s="10" t="s">
        <v>96</v>
      </c>
      <c r="B164" s="10"/>
      <c r="C164" s="10" t="s">
        <v>225</v>
      </c>
      <c r="D164" s="10" t="s">
        <v>383</v>
      </c>
      <c r="E164" s="10" t="s">
        <v>429</v>
      </c>
      <c r="G164" s="34">
        <v>1675.9</v>
      </c>
      <c r="H164" s="56" t="s">
        <v>449</v>
      </c>
    </row>
    <row r="165" spans="6:7" ht="12.75">
      <c r="F165" s="10" t="s">
        <v>569</v>
      </c>
      <c r="G165" s="34">
        <v>161.33</v>
      </c>
    </row>
    <row r="166" spans="1:7" ht="12.75">
      <c r="A166" s="10"/>
      <c r="B166" s="10"/>
      <c r="C166" s="10"/>
      <c r="D166" s="10"/>
      <c r="E166" s="10"/>
      <c r="F166" s="10" t="s">
        <v>570</v>
      </c>
      <c r="G166" s="34">
        <v>58.4</v>
      </c>
    </row>
    <row r="167" spans="1:7" ht="12.75">
      <c r="A167" s="10"/>
      <c r="B167" s="10"/>
      <c r="C167" s="10"/>
      <c r="D167" s="10"/>
      <c r="E167" s="10"/>
      <c r="F167" s="10" t="s">
        <v>571</v>
      </c>
      <c r="G167" s="34">
        <v>1332.73</v>
      </c>
    </row>
    <row r="168" spans="1:7" ht="12.75">
      <c r="A168" s="10"/>
      <c r="B168" s="10"/>
      <c r="C168" s="10"/>
      <c r="D168" s="10"/>
      <c r="E168" s="10"/>
      <c r="F168" s="10" t="s">
        <v>572</v>
      </c>
      <c r="G168" s="34">
        <v>104.14</v>
      </c>
    </row>
    <row r="169" spans="1:7" ht="12.75">
      <c r="A169" s="10"/>
      <c r="B169" s="10"/>
      <c r="C169" s="10"/>
      <c r="D169" s="10"/>
      <c r="E169" s="10"/>
      <c r="F169" s="10" t="s">
        <v>573</v>
      </c>
      <c r="G169" s="34">
        <v>19.3</v>
      </c>
    </row>
    <row r="170" spans="1:8" ht="12.75">
      <c r="A170" s="10" t="s">
        <v>97</v>
      </c>
      <c r="B170" s="10"/>
      <c r="C170" s="10" t="s">
        <v>226</v>
      </c>
      <c r="D170" s="10" t="s">
        <v>384</v>
      </c>
      <c r="E170" s="10" t="s">
        <v>429</v>
      </c>
      <c r="G170" s="34">
        <v>104.14</v>
      </c>
      <c r="H170" s="56" t="s">
        <v>449</v>
      </c>
    </row>
    <row r="171" spans="4:7" ht="12.75">
      <c r="D171" s="28" t="s">
        <v>385</v>
      </c>
      <c r="F171" s="10" t="s">
        <v>572</v>
      </c>
      <c r="G171" s="34">
        <v>104.14</v>
      </c>
    </row>
    <row r="172" spans="1:8" ht="12.75">
      <c r="A172" s="10" t="s">
        <v>98</v>
      </c>
      <c r="B172" s="10"/>
      <c r="C172" s="10" t="s">
        <v>227</v>
      </c>
      <c r="D172" s="10" t="s">
        <v>387</v>
      </c>
      <c r="E172" s="10" t="s">
        <v>429</v>
      </c>
      <c r="G172" s="34">
        <v>609.08</v>
      </c>
      <c r="H172" s="56" t="s">
        <v>449</v>
      </c>
    </row>
    <row r="173" spans="6:7" ht="12.75">
      <c r="F173" s="10" t="s">
        <v>574</v>
      </c>
      <c r="G173" s="34">
        <v>98.58</v>
      </c>
    </row>
    <row r="174" spans="1:7" ht="12.75">
      <c r="A174" s="10"/>
      <c r="B174" s="10"/>
      <c r="C174" s="10"/>
      <c r="D174" s="10"/>
      <c r="E174" s="10"/>
      <c r="F174" s="10" t="s">
        <v>575</v>
      </c>
      <c r="G174" s="34">
        <v>98.4</v>
      </c>
    </row>
    <row r="175" spans="1:7" ht="12.75">
      <c r="A175" s="10"/>
      <c r="B175" s="10"/>
      <c r="C175" s="10"/>
      <c r="D175" s="10"/>
      <c r="E175" s="10"/>
      <c r="F175" s="10" t="s">
        <v>576</v>
      </c>
      <c r="G175" s="34">
        <v>109.9</v>
      </c>
    </row>
    <row r="176" spans="1:7" ht="12.75">
      <c r="A176" s="10"/>
      <c r="B176" s="10"/>
      <c r="C176" s="10"/>
      <c r="D176" s="10"/>
      <c r="E176" s="10"/>
      <c r="F176" s="10" t="s">
        <v>577</v>
      </c>
      <c r="G176" s="34">
        <v>115.9</v>
      </c>
    </row>
    <row r="177" spans="1:7" ht="12.75">
      <c r="A177" s="10"/>
      <c r="B177" s="10"/>
      <c r="C177" s="10"/>
      <c r="D177" s="10"/>
      <c r="E177" s="10"/>
      <c r="F177" s="10" t="s">
        <v>578</v>
      </c>
      <c r="G177" s="34">
        <v>103.4</v>
      </c>
    </row>
    <row r="178" spans="1:7" ht="12.75">
      <c r="A178" s="10"/>
      <c r="B178" s="10"/>
      <c r="C178" s="10"/>
      <c r="D178" s="10"/>
      <c r="E178" s="10"/>
      <c r="F178" s="10" t="s">
        <v>579</v>
      </c>
      <c r="G178" s="34">
        <v>82.9</v>
      </c>
    </row>
    <row r="179" spans="1:8" ht="12.75">
      <c r="A179" s="10" t="s">
        <v>99</v>
      </c>
      <c r="B179" s="10"/>
      <c r="C179" s="10" t="s">
        <v>228</v>
      </c>
      <c r="D179" s="10" t="s">
        <v>388</v>
      </c>
      <c r="E179" s="10" t="s">
        <v>427</v>
      </c>
      <c r="G179" s="34">
        <v>4.15</v>
      </c>
      <c r="H179" s="56" t="s">
        <v>449</v>
      </c>
    </row>
    <row r="180" spans="6:7" ht="12.75">
      <c r="F180" s="10" t="s">
        <v>580</v>
      </c>
      <c r="G180" s="34">
        <v>0.57</v>
      </c>
    </row>
    <row r="181" spans="1:7" ht="12.75">
      <c r="A181" s="10"/>
      <c r="B181" s="10"/>
      <c r="C181" s="10"/>
      <c r="D181" s="10"/>
      <c r="E181" s="10"/>
      <c r="F181" s="10" t="s">
        <v>581</v>
      </c>
      <c r="G181" s="34">
        <v>0.77</v>
      </c>
    </row>
    <row r="182" spans="1:7" ht="12.75">
      <c r="A182" s="10"/>
      <c r="B182" s="10"/>
      <c r="C182" s="10"/>
      <c r="D182" s="10"/>
      <c r="E182" s="10"/>
      <c r="F182" s="10" t="s">
        <v>582</v>
      </c>
      <c r="G182" s="34">
        <v>0.57</v>
      </c>
    </row>
    <row r="183" spans="1:7" ht="12.75">
      <c r="A183" s="10"/>
      <c r="B183" s="10"/>
      <c r="C183" s="10"/>
      <c r="D183" s="10"/>
      <c r="E183" s="10"/>
      <c r="F183" s="10" t="s">
        <v>583</v>
      </c>
      <c r="G183" s="34">
        <v>0.54</v>
      </c>
    </row>
    <row r="184" spans="1:7" ht="12.75">
      <c r="A184" s="10"/>
      <c r="B184" s="10"/>
      <c r="C184" s="10"/>
      <c r="D184" s="10"/>
      <c r="E184" s="10"/>
      <c r="F184" s="10" t="s">
        <v>584</v>
      </c>
      <c r="G184" s="34">
        <v>0.56</v>
      </c>
    </row>
    <row r="185" spans="1:7" ht="12.75">
      <c r="A185" s="10"/>
      <c r="B185" s="10"/>
      <c r="C185" s="10"/>
      <c r="D185" s="10"/>
      <c r="E185" s="10"/>
      <c r="F185" s="10" t="s">
        <v>585</v>
      </c>
      <c r="G185" s="34">
        <v>0.57</v>
      </c>
    </row>
    <row r="186" spans="1:7" ht="12.75">
      <c r="A186" s="10"/>
      <c r="B186" s="10"/>
      <c r="C186" s="10"/>
      <c r="D186" s="10"/>
      <c r="E186" s="10"/>
      <c r="F186" s="10" t="s">
        <v>586</v>
      </c>
      <c r="G186" s="34">
        <v>0.57</v>
      </c>
    </row>
    <row r="187" spans="1:8" ht="12.75">
      <c r="A187" s="10" t="s">
        <v>100</v>
      </c>
      <c r="B187" s="10"/>
      <c r="C187" s="10" t="s">
        <v>229</v>
      </c>
      <c r="D187" s="10" t="s">
        <v>389</v>
      </c>
      <c r="E187" s="10" t="s">
        <v>429</v>
      </c>
      <c r="G187" s="34">
        <v>195.35</v>
      </c>
      <c r="H187" s="56" t="s">
        <v>449</v>
      </c>
    </row>
    <row r="188" spans="4:7" ht="12.75">
      <c r="D188" s="28" t="s">
        <v>390</v>
      </c>
      <c r="F188" s="10" t="s">
        <v>587</v>
      </c>
      <c r="G188" s="34">
        <v>26.72</v>
      </c>
    </row>
    <row r="189" spans="1:7" ht="12.75">
      <c r="A189" s="10"/>
      <c r="B189" s="10"/>
      <c r="C189" s="10"/>
      <c r="D189" s="10"/>
      <c r="E189" s="10"/>
      <c r="F189" s="10" t="s">
        <v>588</v>
      </c>
      <c r="G189" s="34">
        <v>33.57</v>
      </c>
    </row>
    <row r="190" spans="1:7" ht="12.75">
      <c r="A190" s="10"/>
      <c r="B190" s="10"/>
      <c r="C190" s="10"/>
      <c r="D190" s="10"/>
      <c r="E190" s="10"/>
      <c r="F190" s="10" t="s">
        <v>589</v>
      </c>
      <c r="G190" s="34">
        <v>33.58</v>
      </c>
    </row>
    <row r="191" spans="1:7" ht="12.75">
      <c r="A191" s="10"/>
      <c r="B191" s="10"/>
      <c r="C191" s="10"/>
      <c r="D191" s="10"/>
      <c r="E191" s="10"/>
      <c r="F191" s="10" t="s">
        <v>590</v>
      </c>
      <c r="G191" s="34">
        <v>36.7</v>
      </c>
    </row>
    <row r="192" spans="1:7" ht="12.75">
      <c r="A192" s="10"/>
      <c r="B192" s="10"/>
      <c r="C192" s="10"/>
      <c r="D192" s="10"/>
      <c r="E192" s="10"/>
      <c r="F192" s="10" t="s">
        <v>591</v>
      </c>
      <c r="G192" s="34">
        <v>36.79</v>
      </c>
    </row>
    <row r="193" spans="1:7" ht="12.75">
      <c r="A193" s="10"/>
      <c r="B193" s="10"/>
      <c r="C193" s="10"/>
      <c r="D193" s="10"/>
      <c r="E193" s="10"/>
      <c r="F193" s="10" t="s">
        <v>592</v>
      </c>
      <c r="G193" s="34">
        <v>27.99</v>
      </c>
    </row>
    <row r="194" spans="1:8" ht="12.75">
      <c r="A194" s="10" t="s">
        <v>101</v>
      </c>
      <c r="B194" s="10"/>
      <c r="C194" s="10" t="s">
        <v>230</v>
      </c>
      <c r="D194" s="10" t="s">
        <v>391</v>
      </c>
      <c r="E194" s="10" t="s">
        <v>429</v>
      </c>
      <c r="G194" s="34">
        <v>1.42</v>
      </c>
      <c r="H194" s="56" t="s">
        <v>449</v>
      </c>
    </row>
    <row r="195" spans="6:7" ht="12.75">
      <c r="F195" s="10" t="s">
        <v>593</v>
      </c>
      <c r="G195" s="34">
        <v>0</v>
      </c>
    </row>
    <row r="196" spans="1:7" ht="12.75">
      <c r="A196" s="10"/>
      <c r="B196" s="10"/>
      <c r="C196" s="10"/>
      <c r="D196" s="10"/>
      <c r="E196" s="10"/>
      <c r="F196" s="10" t="s">
        <v>594</v>
      </c>
      <c r="G196" s="34">
        <v>1.42</v>
      </c>
    </row>
    <row r="197" spans="1:8" ht="12.75">
      <c r="A197" s="10" t="s">
        <v>102</v>
      </c>
      <c r="B197" s="10"/>
      <c r="C197" s="10" t="s">
        <v>231</v>
      </c>
      <c r="D197" s="10" t="s">
        <v>392</v>
      </c>
      <c r="E197" s="10" t="s">
        <v>429</v>
      </c>
      <c r="G197" s="34">
        <v>107.02</v>
      </c>
      <c r="H197" s="56" t="s">
        <v>449</v>
      </c>
    </row>
    <row r="198" spans="6:7" ht="12.75">
      <c r="F198" s="10" t="s">
        <v>595</v>
      </c>
      <c r="G198" s="34">
        <v>41.63</v>
      </c>
    </row>
    <row r="199" spans="1:7" ht="12.75">
      <c r="A199" s="10"/>
      <c r="B199" s="10"/>
      <c r="C199" s="10"/>
      <c r="D199" s="10"/>
      <c r="E199" s="10"/>
      <c r="F199" s="10" t="s">
        <v>596</v>
      </c>
      <c r="G199" s="34">
        <v>54.85</v>
      </c>
    </row>
    <row r="200" spans="1:7" ht="12.75">
      <c r="A200" s="10"/>
      <c r="B200" s="10"/>
      <c r="C200" s="10"/>
      <c r="D200" s="10"/>
      <c r="E200" s="10"/>
      <c r="F200" s="10" t="s">
        <v>597</v>
      </c>
      <c r="G200" s="34">
        <v>2.19</v>
      </c>
    </row>
    <row r="201" spans="1:7" ht="12.75">
      <c r="A201" s="10"/>
      <c r="B201" s="10"/>
      <c r="C201" s="10"/>
      <c r="D201" s="10"/>
      <c r="E201" s="10"/>
      <c r="F201" s="10" t="s">
        <v>598</v>
      </c>
      <c r="G201" s="34">
        <v>6.25</v>
      </c>
    </row>
    <row r="202" spans="1:7" ht="12.75">
      <c r="A202" s="10"/>
      <c r="B202" s="10"/>
      <c r="C202" s="10"/>
      <c r="D202" s="10"/>
      <c r="E202" s="10"/>
      <c r="F202" s="10" t="s">
        <v>599</v>
      </c>
      <c r="G202" s="34">
        <v>2.1</v>
      </c>
    </row>
    <row r="203" spans="1:8" ht="12.75">
      <c r="A203" s="10" t="s">
        <v>103</v>
      </c>
      <c r="B203" s="10"/>
      <c r="C203" s="10" t="s">
        <v>232</v>
      </c>
      <c r="D203" s="10" t="s">
        <v>393</v>
      </c>
      <c r="E203" s="10" t="s">
        <v>426</v>
      </c>
      <c r="F203" s="10" t="s">
        <v>600</v>
      </c>
      <c r="G203" s="34">
        <v>7.5</v>
      </c>
      <c r="H203" s="56" t="s">
        <v>449</v>
      </c>
    </row>
    <row r="204" spans="1:8" ht="12.75">
      <c r="A204" s="10" t="s">
        <v>104</v>
      </c>
      <c r="B204" s="10"/>
      <c r="C204" s="10" t="s">
        <v>233</v>
      </c>
      <c r="D204" s="10" t="s">
        <v>394</v>
      </c>
      <c r="E204" s="10" t="s">
        <v>428</v>
      </c>
      <c r="G204" s="34">
        <v>107.7576</v>
      </c>
      <c r="H204" s="56" t="s">
        <v>449</v>
      </c>
    </row>
    <row r="205" spans="1:8" ht="12.75">
      <c r="A205" s="10" t="s">
        <v>105</v>
      </c>
      <c r="B205" s="10"/>
      <c r="C205" s="10" t="s">
        <v>234</v>
      </c>
      <c r="D205" s="10" t="s">
        <v>395</v>
      </c>
      <c r="E205" s="10" t="s">
        <v>428</v>
      </c>
      <c r="F205" s="10" t="s">
        <v>601</v>
      </c>
      <c r="G205" s="34">
        <v>538.79</v>
      </c>
      <c r="H205" s="56" t="s">
        <v>449</v>
      </c>
    </row>
    <row r="206" spans="1:8" ht="12.75">
      <c r="A206" s="10" t="s">
        <v>106</v>
      </c>
      <c r="B206" s="10"/>
      <c r="C206" s="10" t="s">
        <v>235</v>
      </c>
      <c r="D206" s="10" t="s">
        <v>397</v>
      </c>
      <c r="E206" s="10" t="s">
        <v>429</v>
      </c>
      <c r="F206" s="10" t="s">
        <v>602</v>
      </c>
      <c r="G206" s="34">
        <v>116.5</v>
      </c>
      <c r="H206" s="56" t="s">
        <v>449</v>
      </c>
    </row>
    <row r="207" spans="1:8" ht="12.75">
      <c r="A207" s="10" t="s">
        <v>107</v>
      </c>
      <c r="B207" s="10"/>
      <c r="C207" s="10" t="s">
        <v>236</v>
      </c>
      <c r="D207" s="10" t="s">
        <v>398</v>
      </c>
      <c r="E207" s="10" t="s">
        <v>427</v>
      </c>
      <c r="F207" s="10" t="s">
        <v>603</v>
      </c>
      <c r="G207" s="34">
        <v>0.25</v>
      </c>
      <c r="H207" s="56" t="s">
        <v>449</v>
      </c>
    </row>
    <row r="208" spans="1:8" ht="12.75">
      <c r="A208" s="10" t="s">
        <v>108</v>
      </c>
      <c r="B208" s="10"/>
      <c r="C208" s="10" t="s">
        <v>237</v>
      </c>
      <c r="D208" s="10" t="s">
        <v>399</v>
      </c>
      <c r="E208" s="10" t="s">
        <v>427</v>
      </c>
      <c r="F208" s="10" t="s">
        <v>604</v>
      </c>
      <c r="G208" s="34">
        <v>0.47</v>
      </c>
      <c r="H208" s="56" t="s">
        <v>449</v>
      </c>
    </row>
    <row r="209" spans="1:8" ht="12.75">
      <c r="A209" s="10" t="s">
        <v>109</v>
      </c>
      <c r="B209" s="10"/>
      <c r="C209" s="10"/>
      <c r="D209" s="10"/>
      <c r="E209" s="10"/>
      <c r="F209" s="10" t="s">
        <v>605</v>
      </c>
      <c r="G209" s="34">
        <v>0</v>
      </c>
      <c r="H209" s="56"/>
    </row>
    <row r="210" spans="1:8" ht="12.75">
      <c r="A210" s="10" t="s">
        <v>110</v>
      </c>
      <c r="B210" s="10"/>
      <c r="C210" s="10" t="s">
        <v>238</v>
      </c>
      <c r="D210" s="10" t="s">
        <v>400</v>
      </c>
      <c r="E210" s="10" t="s">
        <v>427</v>
      </c>
      <c r="G210" s="34">
        <v>1.25</v>
      </c>
      <c r="H210" s="56" t="s">
        <v>449</v>
      </c>
    </row>
    <row r="211" spans="6:7" ht="12.75">
      <c r="F211" s="10" t="s">
        <v>606</v>
      </c>
      <c r="G211" s="34">
        <v>0.75</v>
      </c>
    </row>
    <row r="212" spans="1:7" ht="12.75">
      <c r="A212" s="10"/>
      <c r="B212" s="10"/>
      <c r="C212" s="10"/>
      <c r="D212" s="10"/>
      <c r="E212" s="10"/>
      <c r="F212" s="10" t="s">
        <v>607</v>
      </c>
      <c r="G212" s="34">
        <v>0.34</v>
      </c>
    </row>
    <row r="213" spans="1:7" ht="12.75">
      <c r="A213" s="10"/>
      <c r="B213" s="10"/>
      <c r="C213" s="10"/>
      <c r="D213" s="10"/>
      <c r="E213" s="10"/>
      <c r="F213" s="10" t="s">
        <v>608</v>
      </c>
      <c r="G213" s="34">
        <v>0.08</v>
      </c>
    </row>
    <row r="214" spans="1:7" ht="12.75">
      <c r="A214" s="10"/>
      <c r="B214" s="10"/>
      <c r="C214" s="10"/>
      <c r="D214" s="10"/>
      <c r="E214" s="10"/>
      <c r="F214" s="10" t="s">
        <v>609</v>
      </c>
      <c r="G214" s="34">
        <v>0.08</v>
      </c>
    </row>
    <row r="215" spans="1:8" ht="12.75">
      <c r="A215" s="10" t="s">
        <v>111</v>
      </c>
      <c r="B215" s="10"/>
      <c r="C215" s="10" t="s">
        <v>239</v>
      </c>
      <c r="D215" s="10" t="s">
        <v>401</v>
      </c>
      <c r="E215" s="10" t="s">
        <v>427</v>
      </c>
      <c r="F215" s="10" t="s">
        <v>610</v>
      </c>
      <c r="G215" s="34">
        <v>0.84</v>
      </c>
      <c r="H215" s="56" t="s">
        <v>449</v>
      </c>
    </row>
    <row r="216" spans="1:8" ht="12.75">
      <c r="A216" s="10" t="s">
        <v>112</v>
      </c>
      <c r="B216" s="10"/>
      <c r="C216" s="10" t="s">
        <v>233</v>
      </c>
      <c r="D216" s="10" t="s">
        <v>394</v>
      </c>
      <c r="E216" s="10" t="s">
        <v>428</v>
      </c>
      <c r="G216" s="34">
        <v>13.08505</v>
      </c>
      <c r="H216" s="56" t="s">
        <v>449</v>
      </c>
    </row>
    <row r="217" spans="1:8" ht="12.75">
      <c r="A217" s="10" t="s">
        <v>113</v>
      </c>
      <c r="B217" s="10"/>
      <c r="C217" s="10" t="s">
        <v>234</v>
      </c>
      <c r="D217" s="10" t="s">
        <v>395</v>
      </c>
      <c r="E217" s="10" t="s">
        <v>428</v>
      </c>
      <c r="G217" s="34">
        <v>65.43</v>
      </c>
      <c r="H217" s="56" t="s">
        <v>449</v>
      </c>
    </row>
    <row r="218" spans="1:8" ht="12.75">
      <c r="A218" s="10" t="s">
        <v>114</v>
      </c>
      <c r="B218" s="10"/>
      <c r="C218" s="10" t="s">
        <v>241</v>
      </c>
      <c r="D218" s="10" t="s">
        <v>403</v>
      </c>
      <c r="E218" s="10" t="s">
        <v>431</v>
      </c>
      <c r="G218" s="34">
        <v>1</v>
      </c>
      <c r="H218" s="56" t="s">
        <v>449</v>
      </c>
    </row>
    <row r="219" spans="4:7" ht="12.75">
      <c r="D219" s="28" t="s">
        <v>404</v>
      </c>
      <c r="F219" s="10" t="s">
        <v>7</v>
      </c>
      <c r="G219" s="34">
        <v>1</v>
      </c>
    </row>
    <row r="220" spans="1:8" ht="12.75">
      <c r="A220" s="10" t="s">
        <v>115</v>
      </c>
      <c r="B220" s="10"/>
      <c r="C220" s="10" t="s">
        <v>243</v>
      </c>
      <c r="D220" s="10" t="s">
        <v>406</v>
      </c>
      <c r="E220" s="10" t="s">
        <v>430</v>
      </c>
      <c r="G220" s="34">
        <v>1</v>
      </c>
      <c r="H220" s="56" t="s">
        <v>449</v>
      </c>
    </row>
    <row r="221" spans="1:8" ht="12.75">
      <c r="A221" s="10" t="s">
        <v>116</v>
      </c>
      <c r="B221" s="10"/>
      <c r="C221" s="10" t="s">
        <v>244</v>
      </c>
      <c r="D221" s="10" t="s">
        <v>407</v>
      </c>
      <c r="E221" s="10" t="s">
        <v>431</v>
      </c>
      <c r="G221" s="34">
        <v>1</v>
      </c>
      <c r="H221" s="56" t="s">
        <v>449</v>
      </c>
    </row>
    <row r="222" spans="4:7" ht="12.75">
      <c r="D222" s="28" t="s">
        <v>408</v>
      </c>
      <c r="F222" s="10" t="s">
        <v>7</v>
      </c>
      <c r="G222" s="34">
        <v>1</v>
      </c>
    </row>
    <row r="223" spans="1:8" ht="12.75">
      <c r="A223" s="10" t="s">
        <v>117</v>
      </c>
      <c r="B223" s="10"/>
      <c r="C223" s="10" t="s">
        <v>245</v>
      </c>
      <c r="D223" s="10" t="s">
        <v>409</v>
      </c>
      <c r="E223" s="10" t="s">
        <v>430</v>
      </c>
      <c r="G223" s="34">
        <v>1</v>
      </c>
      <c r="H223" s="56" t="s">
        <v>449</v>
      </c>
    </row>
    <row r="224" spans="4:7" ht="12.75">
      <c r="D224" s="28" t="s">
        <v>410</v>
      </c>
      <c r="G224" s="34">
        <v>0</v>
      </c>
    </row>
    <row r="225" spans="1:8" ht="12.75">
      <c r="A225" s="10" t="s">
        <v>118</v>
      </c>
      <c r="B225" s="10"/>
      <c r="C225" s="10" t="s">
        <v>246</v>
      </c>
      <c r="D225" s="10" t="s">
        <v>411</v>
      </c>
      <c r="E225" s="10" t="s">
        <v>430</v>
      </c>
      <c r="G225" s="34">
        <v>1</v>
      </c>
      <c r="H225" s="56" t="s">
        <v>449</v>
      </c>
    </row>
    <row r="226" spans="1:8" ht="12.75">
      <c r="A226" s="10" t="s">
        <v>119</v>
      </c>
      <c r="B226" s="10"/>
      <c r="C226" s="10" t="s">
        <v>246</v>
      </c>
      <c r="D226" s="10" t="s">
        <v>412</v>
      </c>
      <c r="E226" s="10" t="s">
        <v>430</v>
      </c>
      <c r="G226" s="34">
        <v>1</v>
      </c>
      <c r="H226" s="56" t="s">
        <v>449</v>
      </c>
    </row>
    <row r="227" spans="4:7" ht="12.75">
      <c r="D227" s="28" t="s">
        <v>413</v>
      </c>
      <c r="F227" s="10" t="s">
        <v>7</v>
      </c>
      <c r="G227" s="34">
        <v>1</v>
      </c>
    </row>
    <row r="228" spans="1:8" ht="12.75">
      <c r="A228" s="10" t="s">
        <v>120</v>
      </c>
      <c r="B228" s="10"/>
      <c r="C228" s="10" t="s">
        <v>248</v>
      </c>
      <c r="D228" s="10" t="s">
        <v>415</v>
      </c>
      <c r="E228" s="10" t="s">
        <v>428</v>
      </c>
      <c r="F228" s="10" t="s">
        <v>611</v>
      </c>
      <c r="G228" s="34">
        <v>120.85</v>
      </c>
      <c r="H228" s="56" t="s">
        <v>449</v>
      </c>
    </row>
    <row r="229" spans="1:8" ht="12.75">
      <c r="A229" s="10" t="s">
        <v>121</v>
      </c>
      <c r="B229" s="10"/>
      <c r="C229" s="10" t="s">
        <v>249</v>
      </c>
      <c r="D229" s="10" t="s">
        <v>416</v>
      </c>
      <c r="E229" s="10" t="s">
        <v>428</v>
      </c>
      <c r="F229" s="10" t="s">
        <v>611</v>
      </c>
      <c r="G229" s="34">
        <v>120.85</v>
      </c>
      <c r="H229" s="56" t="s">
        <v>449</v>
      </c>
    </row>
    <row r="230" spans="1:8" ht="12.75">
      <c r="A230" s="10" t="s">
        <v>122</v>
      </c>
      <c r="B230" s="10"/>
      <c r="C230" s="10" t="s">
        <v>250</v>
      </c>
      <c r="D230" s="10" t="s">
        <v>417</v>
      </c>
      <c r="E230" s="10" t="s">
        <v>428</v>
      </c>
      <c r="F230" s="10" t="s">
        <v>612</v>
      </c>
      <c r="G230" s="34">
        <v>604.23</v>
      </c>
      <c r="H230" s="56" t="s">
        <v>449</v>
      </c>
    </row>
    <row r="231" spans="1:8" ht="12.75">
      <c r="A231" s="10" t="s">
        <v>123</v>
      </c>
      <c r="B231" s="10"/>
      <c r="C231" s="10" t="s">
        <v>251</v>
      </c>
      <c r="D231" s="10" t="s">
        <v>418</v>
      </c>
      <c r="E231" s="10" t="s">
        <v>428</v>
      </c>
      <c r="F231" s="10" t="s">
        <v>611</v>
      </c>
      <c r="G231" s="34">
        <v>120.85</v>
      </c>
      <c r="H231" s="56" t="s">
        <v>449</v>
      </c>
    </row>
    <row r="232" spans="1:8" ht="12.75">
      <c r="A232" s="10" t="s">
        <v>502</v>
      </c>
      <c r="B232" s="10"/>
      <c r="C232" s="10" t="s">
        <v>252</v>
      </c>
      <c r="D232" s="10" t="s">
        <v>419</v>
      </c>
      <c r="E232" s="10" t="s">
        <v>428</v>
      </c>
      <c r="F232" s="10" t="s">
        <v>611</v>
      </c>
      <c r="G232" s="34">
        <v>120.85</v>
      </c>
      <c r="H232" s="56" t="s">
        <v>449</v>
      </c>
    </row>
    <row r="233" spans="1:8" ht="12.75">
      <c r="A233" s="10" t="s">
        <v>503</v>
      </c>
      <c r="B233" s="10"/>
      <c r="C233" s="10" t="s">
        <v>253</v>
      </c>
      <c r="D233" s="10" t="s">
        <v>420</v>
      </c>
      <c r="E233" s="10" t="s">
        <v>428</v>
      </c>
      <c r="F233" s="10" t="s">
        <v>611</v>
      </c>
      <c r="G233" s="34">
        <v>120.85</v>
      </c>
      <c r="H233" s="56" t="s">
        <v>449</v>
      </c>
    </row>
    <row r="235" ht="11.25" customHeight="1">
      <c r="A235" s="15" t="s">
        <v>124</v>
      </c>
    </row>
    <row r="236" spans="1:7" ht="38.25" customHeight="1">
      <c r="A236" s="16" t="s">
        <v>125</v>
      </c>
      <c r="B236" s="19"/>
      <c r="C236" s="19"/>
      <c r="D236" s="19"/>
      <c r="E236" s="19"/>
      <c r="F236" s="19"/>
      <c r="G236" s="19"/>
    </row>
  </sheetData>
  <mergeCells count="18">
    <mergeCell ref="A1:H1"/>
    <mergeCell ref="A2:B3"/>
    <mergeCell ref="C2:D3"/>
    <mergeCell ref="E2:E3"/>
    <mergeCell ref="F2:H3"/>
    <mergeCell ref="A4:B5"/>
    <mergeCell ref="C4:D5"/>
    <mergeCell ref="E4:E5"/>
    <mergeCell ref="F4:H5"/>
    <mergeCell ref="A6:B7"/>
    <mergeCell ref="C6:D7"/>
    <mergeCell ref="E6:E7"/>
    <mergeCell ref="F6:H7"/>
    <mergeCell ref="A8:B9"/>
    <mergeCell ref="C8:D9"/>
    <mergeCell ref="E8:E9"/>
    <mergeCell ref="F8:H9"/>
    <mergeCell ref="A236:G236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A1" sqref="A1"/>
    </sheetView>
  </sheetViews>
  <sheetFormatPr defaultColWidth="11.57421875" defaultRowHeight="12.75"/>
  <cols>
    <col min="1" max="1" width="9.140625" customWidth="1"/>
    <col min="2" max="2" width="12.8515625" customWidth="1"/>
    <col min="3" max="3" width="22.8515625" customWidth="1"/>
    <col min="4" max="4" width="10.00390625" customWidth="1"/>
    <col min="5" max="5" width="14.00390625" customWidth="1"/>
    <col min="6" max="6" width="22.8515625" customWidth="1"/>
    <col min="7" max="7" width="9.140625" customWidth="1"/>
    <col min="8" max="8" width="12.8515625" customWidth="1"/>
    <col min="9" max="9" width="22.8515625" customWidth="1"/>
  </cols>
  <sheetData>
    <row r="1" spans="1:9" ht="72.75" customHeight="1">
      <c r="A1" s="123"/>
      <c r="B1" s="79"/>
      <c r="C1" s="102" t="s">
        <v>629</v>
      </c>
      <c r="D1" s="108"/>
      <c r="E1" s="108"/>
      <c r="F1" s="108"/>
      <c r="G1" s="108"/>
      <c r="H1" s="108"/>
      <c r="I1" s="108"/>
    </row>
    <row r="2" spans="1:10" ht="12.75">
      <c r="A2" s="3" t="s">
        <v>1</v>
      </c>
      <c r="B2" s="18"/>
      <c r="C2" s="25" t="s">
        <v>254</v>
      </c>
      <c r="D2" s="46"/>
      <c r="E2" s="43" t="s">
        <v>440</v>
      </c>
      <c r="F2" s="43"/>
      <c r="G2" s="18"/>
      <c r="H2" s="43" t="s">
        <v>654</v>
      </c>
      <c r="I2" s="117"/>
      <c r="J2" s="59"/>
    </row>
    <row r="3" spans="1:10" ht="12.75">
      <c r="A3" s="4"/>
      <c r="B3" s="19"/>
      <c r="C3" s="26"/>
      <c r="D3" s="26"/>
      <c r="E3" s="19"/>
      <c r="F3" s="19"/>
      <c r="G3" s="19"/>
      <c r="H3" s="19"/>
      <c r="I3" s="52"/>
      <c r="J3" s="59"/>
    </row>
    <row r="4" spans="1:10" ht="12.75">
      <c r="A4" s="5" t="s">
        <v>2</v>
      </c>
      <c r="B4" s="19"/>
      <c r="C4" s="16" t="s">
        <v>255</v>
      </c>
      <c r="D4" s="19"/>
      <c r="E4" s="16" t="s">
        <v>441</v>
      </c>
      <c r="F4" s="16"/>
      <c r="G4" s="19"/>
      <c r="H4" s="16" t="s">
        <v>654</v>
      </c>
      <c r="I4" s="118"/>
      <c r="J4" s="59"/>
    </row>
    <row r="5" spans="1:10" ht="12.75">
      <c r="A5" s="4"/>
      <c r="B5" s="19"/>
      <c r="C5" s="19"/>
      <c r="D5" s="19"/>
      <c r="E5" s="19"/>
      <c r="F5" s="19"/>
      <c r="G5" s="19"/>
      <c r="H5" s="19"/>
      <c r="I5" s="52"/>
      <c r="J5" s="59"/>
    </row>
    <row r="6" spans="1:10" ht="12.75">
      <c r="A6" s="5" t="s">
        <v>3</v>
      </c>
      <c r="B6" s="19"/>
      <c r="C6" s="16" t="s">
        <v>256</v>
      </c>
      <c r="D6" s="19"/>
      <c r="E6" s="16" t="s">
        <v>442</v>
      </c>
      <c r="F6" s="16"/>
      <c r="G6" s="19"/>
      <c r="H6" s="16" t="s">
        <v>654</v>
      </c>
      <c r="I6" s="118"/>
      <c r="J6" s="59"/>
    </row>
    <row r="7" spans="1:10" ht="12.75">
      <c r="A7" s="4"/>
      <c r="B7" s="19"/>
      <c r="C7" s="19"/>
      <c r="D7" s="19"/>
      <c r="E7" s="19"/>
      <c r="F7" s="19"/>
      <c r="G7" s="19"/>
      <c r="H7" s="19"/>
      <c r="I7" s="52"/>
      <c r="J7" s="59"/>
    </row>
    <row r="8" spans="1:10" ht="12.75">
      <c r="A8" s="5" t="s">
        <v>422</v>
      </c>
      <c r="B8" s="19"/>
      <c r="C8" s="37">
        <v>41950</v>
      </c>
      <c r="D8" s="19"/>
      <c r="E8" s="16" t="s">
        <v>423</v>
      </c>
      <c r="F8" s="19"/>
      <c r="G8" s="19"/>
      <c r="H8" s="30" t="s">
        <v>655</v>
      </c>
      <c r="I8" s="118" t="s">
        <v>123</v>
      </c>
      <c r="J8" s="59"/>
    </row>
    <row r="9" spans="1:10" ht="12.75">
      <c r="A9" s="4"/>
      <c r="B9" s="19"/>
      <c r="C9" s="19"/>
      <c r="D9" s="19"/>
      <c r="E9" s="19"/>
      <c r="F9" s="19"/>
      <c r="G9" s="19"/>
      <c r="H9" s="19"/>
      <c r="I9" s="52"/>
      <c r="J9" s="59"/>
    </row>
    <row r="10" spans="1:10" ht="12.75">
      <c r="A10" s="5" t="s">
        <v>4</v>
      </c>
      <c r="B10" s="19"/>
      <c r="C10" s="16"/>
      <c r="D10" s="19"/>
      <c r="E10" s="16" t="s">
        <v>443</v>
      </c>
      <c r="F10" s="16"/>
      <c r="G10" s="19"/>
      <c r="H10" s="30" t="s">
        <v>656</v>
      </c>
      <c r="I10" s="119">
        <v>41950</v>
      </c>
      <c r="J10" s="59"/>
    </row>
    <row r="11" spans="1:10" ht="12.75">
      <c r="A11" s="80"/>
      <c r="B11" s="92"/>
      <c r="C11" s="92"/>
      <c r="D11" s="92"/>
      <c r="E11" s="92"/>
      <c r="F11" s="92"/>
      <c r="G11" s="92"/>
      <c r="H11" s="92"/>
      <c r="I11" s="120"/>
      <c r="J11" s="59"/>
    </row>
    <row r="12" spans="1:9" ht="23.25" customHeight="1">
      <c r="A12" s="81" t="s">
        <v>614</v>
      </c>
      <c r="B12" s="93"/>
      <c r="C12" s="93"/>
      <c r="D12" s="93"/>
      <c r="E12" s="93"/>
      <c r="F12" s="93"/>
      <c r="G12" s="93"/>
      <c r="H12" s="93"/>
      <c r="I12" s="93"/>
    </row>
    <row r="13" spans="1:10" ht="26.25" customHeight="1">
      <c r="A13" s="82" t="s">
        <v>615</v>
      </c>
      <c r="B13" s="94" t="s">
        <v>627</v>
      </c>
      <c r="C13" s="103"/>
      <c r="D13" s="82" t="s">
        <v>630</v>
      </c>
      <c r="E13" s="94" t="s">
        <v>639</v>
      </c>
      <c r="F13" s="103"/>
      <c r="G13" s="82" t="s">
        <v>640</v>
      </c>
      <c r="H13" s="94" t="s">
        <v>657</v>
      </c>
      <c r="I13" s="103"/>
      <c r="J13" s="59"/>
    </row>
    <row r="14" spans="1:10" ht="15" customHeight="1">
      <c r="A14" s="83" t="s">
        <v>616</v>
      </c>
      <c r="B14" s="95" t="s">
        <v>628</v>
      </c>
      <c r="C14" s="112">
        <f>SUM('Stavební rozpočet'!R12:R184)</f>
        <v>0</v>
      </c>
      <c r="D14" s="109" t="s">
        <v>631</v>
      </c>
      <c r="E14" s="111"/>
      <c r="F14" s="112">
        <v>0</v>
      </c>
      <c r="G14" s="109" t="s">
        <v>641</v>
      </c>
      <c r="H14" s="111"/>
      <c r="I14" s="112">
        <v>0</v>
      </c>
      <c r="J14" s="59"/>
    </row>
    <row r="15" spans="1:10" ht="15" customHeight="1">
      <c r="A15" s="84"/>
      <c r="B15" s="95" t="s">
        <v>444</v>
      </c>
      <c r="C15" s="112">
        <f>SUM('Stavební rozpočet'!S12:S184)</f>
        <v>0</v>
      </c>
      <c r="D15" s="109" t="s">
        <v>632</v>
      </c>
      <c r="E15" s="111"/>
      <c r="F15" s="112">
        <v>0</v>
      </c>
      <c r="G15" s="109" t="s">
        <v>642</v>
      </c>
      <c r="H15" s="111"/>
      <c r="I15" s="112">
        <v>0</v>
      </c>
      <c r="J15" s="59"/>
    </row>
    <row r="16" spans="1:10" ht="15" customHeight="1">
      <c r="A16" s="83" t="s">
        <v>617</v>
      </c>
      <c r="B16" s="95" t="s">
        <v>628</v>
      </c>
      <c r="C16" s="112">
        <f>SUM('Stavební rozpočet'!T12:T184)</f>
        <v>0</v>
      </c>
      <c r="D16" s="109" t="s">
        <v>633</v>
      </c>
      <c r="E16" s="111"/>
      <c r="F16" s="112">
        <v>0</v>
      </c>
      <c r="G16" s="109" t="s">
        <v>643</v>
      </c>
      <c r="H16" s="111"/>
      <c r="I16" s="112">
        <v>0</v>
      </c>
      <c r="J16" s="59"/>
    </row>
    <row r="17" spans="1:10" ht="15" customHeight="1">
      <c r="A17" s="84"/>
      <c r="B17" s="95" t="s">
        <v>444</v>
      </c>
      <c r="C17" s="112">
        <f>SUM('Stavební rozpočet'!U12:U184)</f>
        <v>0</v>
      </c>
      <c r="D17" s="109"/>
      <c r="E17" s="111"/>
      <c r="F17" s="113"/>
      <c r="G17" s="109" t="s">
        <v>644</v>
      </c>
      <c r="H17" s="111"/>
      <c r="I17" s="112">
        <v>0</v>
      </c>
      <c r="J17" s="59"/>
    </row>
    <row r="18" spans="1:10" ht="15" customHeight="1">
      <c r="A18" s="83" t="s">
        <v>618</v>
      </c>
      <c r="B18" s="95" t="s">
        <v>628</v>
      </c>
      <c r="C18" s="112">
        <f>SUM('Stavební rozpočet'!V12:V184)</f>
        <v>0</v>
      </c>
      <c r="D18" s="109"/>
      <c r="E18" s="111"/>
      <c r="F18" s="113"/>
      <c r="G18" s="109" t="s">
        <v>645</v>
      </c>
      <c r="H18" s="111"/>
      <c r="I18" s="112">
        <v>0</v>
      </c>
      <c r="J18" s="59"/>
    </row>
    <row r="19" spans="1:10" ht="15" customHeight="1">
      <c r="A19" s="84"/>
      <c r="B19" s="95" t="s">
        <v>444</v>
      </c>
      <c r="C19" s="112">
        <f>SUM('Stavební rozpočet'!W12:W184)</f>
        <v>0</v>
      </c>
      <c r="D19" s="109"/>
      <c r="E19" s="111"/>
      <c r="F19" s="113"/>
      <c r="G19" s="109" t="s">
        <v>646</v>
      </c>
      <c r="H19" s="111"/>
      <c r="I19" s="112">
        <v>0</v>
      </c>
      <c r="J19" s="59"/>
    </row>
    <row r="20" spans="1:10" ht="15" customHeight="1">
      <c r="A20" s="85" t="s">
        <v>619</v>
      </c>
      <c r="B20" s="96"/>
      <c r="C20" s="112">
        <f>SUM('Stavební rozpočet'!X12:X184)</f>
        <v>0</v>
      </c>
      <c r="D20" s="109"/>
      <c r="E20" s="111"/>
      <c r="F20" s="113"/>
      <c r="G20" s="109"/>
      <c r="H20" s="111"/>
      <c r="I20" s="113"/>
      <c r="J20" s="59"/>
    </row>
    <row r="21" spans="1:10" ht="15" customHeight="1">
      <c r="A21" s="85" t="s">
        <v>620</v>
      </c>
      <c r="B21" s="96"/>
      <c r="C21" s="112">
        <f>SUM('Stavební rozpočet'!P12:P184)</f>
        <v>0</v>
      </c>
      <c r="D21" s="109"/>
      <c r="E21" s="111"/>
      <c r="F21" s="113"/>
      <c r="G21" s="109"/>
      <c r="H21" s="111"/>
      <c r="I21" s="113"/>
      <c r="J21" s="59"/>
    </row>
    <row r="22" spans="1:10" ht="16.5" customHeight="1">
      <c r="A22" s="85" t="s">
        <v>621</v>
      </c>
      <c r="B22" s="96"/>
      <c r="C22" s="112">
        <f>SUM(C14:C21)</f>
        <v>0</v>
      </c>
      <c r="D22" s="85" t="s">
        <v>634</v>
      </c>
      <c r="E22" s="96"/>
      <c r="F22" s="112">
        <f>SUM(F14:F21)</f>
        <v>0</v>
      </c>
      <c r="G22" s="85" t="s">
        <v>647</v>
      </c>
      <c r="H22" s="96"/>
      <c r="I22" s="112">
        <f>ROUND(C22*(3/100),2)</f>
        <v>0</v>
      </c>
      <c r="J22" s="59"/>
    </row>
    <row r="23" spans="1:10" ht="15" customHeight="1">
      <c r="A23" s="14"/>
      <c r="B23" s="14"/>
      <c r="C23" s="104"/>
      <c r="D23" s="85" t="s">
        <v>635</v>
      </c>
      <c r="E23" s="96"/>
      <c r="F23" s="114">
        <v>0</v>
      </c>
      <c r="G23" s="85" t="s">
        <v>648</v>
      </c>
      <c r="H23" s="96"/>
      <c r="I23" s="112">
        <v>0</v>
      </c>
      <c r="J23" s="59"/>
    </row>
    <row r="24" spans="4:9" ht="15" customHeight="1">
      <c r="D24" s="14"/>
      <c r="E24" s="14"/>
      <c r="F24" s="115"/>
      <c r="G24" s="85" t="s">
        <v>649</v>
      </c>
      <c r="H24" s="96"/>
      <c r="I24" s="121"/>
    </row>
    <row r="25" spans="6:10" ht="15" customHeight="1">
      <c r="F25" s="116"/>
      <c r="G25" s="85" t="s">
        <v>650</v>
      </c>
      <c r="H25" s="96"/>
      <c r="I25" s="112">
        <v>0</v>
      </c>
      <c r="J25" s="59"/>
    </row>
    <row r="26" spans="1:9" ht="12.75">
      <c r="A26" s="79"/>
      <c r="B26" s="79"/>
      <c r="C26" s="79"/>
      <c r="G26" s="14"/>
      <c r="H26" s="14"/>
      <c r="I26" s="14"/>
    </row>
    <row r="27" spans="1:9" ht="15" customHeight="1">
      <c r="A27" s="86" t="s">
        <v>622</v>
      </c>
      <c r="B27" s="97"/>
      <c r="C27" s="122">
        <f>SUM('Stavební rozpočet'!Z12:Z184)</f>
        <v>0</v>
      </c>
      <c r="D27" s="110"/>
      <c r="E27" s="79"/>
      <c r="F27" s="79"/>
      <c r="G27" s="79"/>
      <c r="H27" s="79"/>
      <c r="I27" s="79"/>
    </row>
    <row r="28" spans="1:10" ht="15" customHeight="1">
      <c r="A28" s="86" t="s">
        <v>623</v>
      </c>
      <c r="B28" s="97"/>
      <c r="C28" s="122">
        <f>SUM('Stavební rozpočet'!AA12:AA184)</f>
        <v>0</v>
      </c>
      <c r="D28" s="86" t="s">
        <v>636</v>
      </c>
      <c r="E28" s="97"/>
      <c r="F28" s="122">
        <f>ROUND(C28*(15/100),2)</f>
        <v>0</v>
      </c>
      <c r="G28" s="86" t="s">
        <v>651</v>
      </c>
      <c r="H28" s="97"/>
      <c r="I28" s="122">
        <f>SUM(C27:C29)</f>
        <v>0</v>
      </c>
      <c r="J28" s="59"/>
    </row>
    <row r="29" spans="1:10" ht="15" customHeight="1">
      <c r="A29" s="86" t="s">
        <v>624</v>
      </c>
      <c r="B29" s="97"/>
      <c r="C29" s="122">
        <f>SUM('Stavební rozpočet'!AB12:AB184)+(F22+I22+F23+I23+I24+I25)</f>
        <v>0</v>
      </c>
      <c r="D29" s="86" t="s">
        <v>637</v>
      </c>
      <c r="E29" s="97"/>
      <c r="F29" s="122">
        <f>ROUND(C29*(21/100),2)</f>
        <v>0</v>
      </c>
      <c r="G29" s="86" t="s">
        <v>652</v>
      </c>
      <c r="H29" s="97"/>
      <c r="I29" s="122">
        <f>SUM(F28:F29)+I28</f>
        <v>0</v>
      </c>
      <c r="J29" s="59"/>
    </row>
    <row r="30" spans="1:9" ht="12.75">
      <c r="A30" s="87"/>
      <c r="B30" s="87"/>
      <c r="C30" s="87"/>
      <c r="D30" s="87"/>
      <c r="E30" s="87"/>
      <c r="F30" s="87"/>
      <c r="G30" s="87"/>
      <c r="H30" s="87"/>
      <c r="I30" s="87"/>
    </row>
    <row r="31" spans="1:10" ht="14.25" customHeight="1">
      <c r="A31" s="88" t="s">
        <v>625</v>
      </c>
      <c r="B31" s="98"/>
      <c r="C31" s="105"/>
      <c r="D31" s="88" t="s">
        <v>638</v>
      </c>
      <c r="E31" s="98"/>
      <c r="F31" s="105"/>
      <c r="G31" s="88" t="s">
        <v>653</v>
      </c>
      <c r="H31" s="98"/>
      <c r="I31" s="105"/>
      <c r="J31" s="60"/>
    </row>
    <row r="32" spans="1:10" ht="14.25" customHeight="1">
      <c r="A32" s="89"/>
      <c r="B32" s="99"/>
      <c r="C32" s="106"/>
      <c r="D32" s="89"/>
      <c r="E32" s="99"/>
      <c r="F32" s="106"/>
      <c r="G32" s="89"/>
      <c r="H32" s="99"/>
      <c r="I32" s="106"/>
      <c r="J32" s="60"/>
    </row>
    <row r="33" spans="1:10" ht="14.25" customHeight="1">
      <c r="A33" s="89"/>
      <c r="B33" s="99"/>
      <c r="C33" s="106"/>
      <c r="D33" s="89"/>
      <c r="E33" s="99"/>
      <c r="F33" s="106"/>
      <c r="G33" s="89"/>
      <c r="H33" s="99"/>
      <c r="I33" s="106"/>
      <c r="J33" s="60"/>
    </row>
    <row r="34" spans="1:10" ht="14.25" customHeight="1">
      <c r="A34" s="89"/>
      <c r="B34" s="99"/>
      <c r="C34" s="106"/>
      <c r="D34" s="89"/>
      <c r="E34" s="99"/>
      <c r="F34" s="106"/>
      <c r="G34" s="89"/>
      <c r="H34" s="99"/>
      <c r="I34" s="106"/>
      <c r="J34" s="60"/>
    </row>
    <row r="35" spans="1:10" ht="14.25" customHeight="1">
      <c r="A35" s="90" t="s">
        <v>626</v>
      </c>
      <c r="B35" s="100"/>
      <c r="C35" s="107"/>
      <c r="D35" s="90" t="s">
        <v>626</v>
      </c>
      <c r="E35" s="100"/>
      <c r="F35" s="107"/>
      <c r="G35" s="90" t="s">
        <v>626</v>
      </c>
      <c r="H35" s="100"/>
      <c r="I35" s="107"/>
      <c r="J35" s="60"/>
    </row>
    <row r="36" spans="1:9" ht="11.25" customHeight="1">
      <c r="A36" s="91" t="s">
        <v>124</v>
      </c>
      <c r="B36" s="101"/>
      <c r="C36" s="101"/>
      <c r="D36" s="101"/>
      <c r="E36" s="101"/>
      <c r="F36" s="101"/>
      <c r="G36" s="101"/>
      <c r="H36" s="101"/>
      <c r="I36" s="101"/>
    </row>
    <row r="37" spans="1:9" ht="38.25" customHeight="1">
      <c r="A37" s="16" t="s">
        <v>125</v>
      </c>
      <c r="B37" s="19"/>
      <c r="C37" s="19"/>
      <c r="D37" s="19"/>
      <c r="E37" s="19"/>
      <c r="F37" s="19"/>
      <c r="G37" s="19"/>
      <c r="H37" s="19"/>
      <c r="I37" s="19"/>
    </row>
  </sheetData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  <mergeCell ref="A37:I37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