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520" windowHeight="12840" tabRatio="848" activeTab="1"/>
  </bookViews>
  <sheets>
    <sheet name="Rekapitulace" sheetId="1" r:id="rId1"/>
    <sheet name="Sanační část Krycí list" sheetId="12" r:id="rId2"/>
    <sheet name="Sanační část Rozpočet" sheetId="14" r:id="rId3"/>
    <sheet name="Stavební část Krycí list" sheetId="13" r:id="rId4"/>
    <sheet name="SO01 Krycí list" sheetId="8" r:id="rId5"/>
    <sheet name="SO01 Rozpocet" sheetId="9" r:id="rId6"/>
    <sheet name="SO02 Krycí list" sheetId="10" r:id="rId7"/>
    <sheet name="SO02 Rozpocet" sheetId="11" r:id="rId8"/>
    <sheet name="Pomocna" sheetId="15" r:id="rId9"/>
  </sheets>
  <externalReferences>
    <externalReference r:id="rId13"/>
  </externalReferences>
  <definedNames>
    <definedName name="_xlnm.Print_Area" localSheetId="0">'Rekapitulace'!$A$1:$H$20</definedName>
    <definedName name="_xlnm.Print_Area" localSheetId="2">'Sanační část Rozpočet'!$A$1:$G$76</definedName>
    <definedName name="_xlnm.Print_Area" localSheetId="5">'SO01 Rozpocet'!$A$1:$N$182</definedName>
    <definedName name="_xlnm.Print_Area" localSheetId="7">'SO02 Rozpocet'!$A$1:$N$191</definedName>
    <definedName name="_xlnm.Print_Titles" localSheetId="0">'Rekapitulace'!$1:$8</definedName>
  </definedNames>
  <calcPr calcId="145621"/>
  <pivotCaches>
    <pivotCache cacheId="0" r:id="rId10"/>
  </pivotCaches>
</workbook>
</file>

<file path=xl/comments3.xml><?xml version="1.0" encoding="utf-8"?>
<comments xmlns="http://schemas.openxmlformats.org/spreadsheetml/2006/main">
  <authors>
    <author>Ing. Stanislav Mikolajek</author>
    <author>Dusan Dedek</author>
    <author>Ing. Dušan Dedek</author>
  </authors>
  <commentList>
    <comment ref="A6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Stavební úpravy pro čistírny odpadních vod, čisticí stanice a spalovny odpadů</t>
        </r>
      </text>
    </comment>
    <comment ref="A7" authorId="1">
      <text>
        <r>
          <rPr>
            <b/>
            <sz val="9"/>
            <rFont val="Tahoma"/>
            <family val="2"/>
          </rPr>
          <t>Dusan Dedek:</t>
        </r>
        <r>
          <rPr>
            <sz val="9"/>
            <rFont val="Tahoma"/>
            <family val="2"/>
          </rPr>
          <t xml:space="preserve">
Likvidace kontaminované půdy</t>
        </r>
      </text>
    </comment>
    <comment ref="A8" authorId="1">
      <text>
        <r>
          <rPr>
            <b/>
            <sz val="9"/>
            <rFont val="Tahoma"/>
            <family val="2"/>
          </rPr>
          <t>Dusan Dedek:</t>
        </r>
        <r>
          <rPr>
            <sz val="9"/>
            <rFont val="Tahoma"/>
            <family val="2"/>
          </rPr>
          <t xml:space="preserve">
Odvoz kontaminované půdy</t>
        </r>
      </text>
    </comment>
    <comment ref="A10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11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12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13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15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Stavební úpravy pro čistírny odpadních vod, čisticí stanice a spalovny odpadů</t>
        </r>
      </text>
    </comment>
    <comment ref="A16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Stavební úpravy pro čistírny odpadních vod, čisticí stanice a spalovny odpadů</t>
        </r>
      </text>
    </comment>
    <comment ref="A17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18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19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20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21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22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23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24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25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27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Stavební úpravy pro čistírny odpadních vod, čisticí stanice a spalovny odpadů</t>
        </r>
      </text>
    </comment>
    <comment ref="A28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29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30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1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2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3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4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5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6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37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39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0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1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2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3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4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5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6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7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8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9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0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1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2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3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4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6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7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8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9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0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1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2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3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5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66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67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68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69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0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1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2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3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4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5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6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<sst xmlns="http://schemas.openxmlformats.org/spreadsheetml/2006/main" count="2723" uniqueCount="474">
  <si>
    <t>Stavba:</t>
  </si>
  <si>
    <t>Datum:</t>
  </si>
  <si>
    <t>Objednatel:</t>
  </si>
  <si>
    <t>Projektant:</t>
  </si>
  <si>
    <t>Zhotovitel:</t>
  </si>
  <si>
    <t>Zpracoval:</t>
  </si>
  <si>
    <t>Kód</t>
  </si>
  <si>
    <t>Zakázka</t>
  </si>
  <si>
    <t>Cena bez DPH</t>
  </si>
  <si>
    <t>DPH základní</t>
  </si>
  <si>
    <t>Cena s DPH</t>
  </si>
  <si>
    <t>Ostatní</t>
  </si>
  <si>
    <t>ZRN</t>
  </si>
  <si>
    <t>HZS</t>
  </si>
  <si>
    <t>NUS</t>
  </si>
  <si>
    <t>1226</t>
  </si>
  <si>
    <t>SO001</t>
  </si>
  <si>
    <t>SO002</t>
  </si>
  <si>
    <t>Celkem</t>
  </si>
  <si>
    <t>CPV</t>
  </si>
  <si>
    <t>Sanační část</t>
  </si>
  <si>
    <t>Stavební část</t>
  </si>
  <si>
    <t>KRYCÍ LIST ROZPOČTU</t>
  </si>
  <si>
    <t>Název stavby</t>
  </si>
  <si>
    <t>JKSO</t>
  </si>
  <si>
    <t xml:space="preserve"> </t>
  </si>
  <si>
    <t>Kód stavby</t>
  </si>
  <si>
    <t>Název objektu</t>
  </si>
  <si>
    <t>SO 01 Sanační plocha 1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</si>
  <si>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</si>
  <si>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</si>
  <si>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</si>
  <si>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</si>
  <si>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</si>
  <si>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</si>
  <si>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</si>
  <si>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</si>
  <si>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</si>
  <si>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</si>
  <si>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</si>
  <si>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</si>
  <si>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</si>
  <si>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</si>
  <si>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</si>
  <si>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</si>
  <si>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</si>
  <si>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</si>
  <si>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</si>
  <si>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</si>
  <si>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</si>
  <si>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</si>
  <si>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</si>
  <si>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</si>
  <si>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</si>
  <si>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</si>
  <si>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</si>
  <si>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</si>
  <si>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</si>
  <si>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</si>
  <si>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</si>
  <si>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</si>
  <si>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</si>
  <si>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</si>
  <si>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</si>
  <si>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</si>
  <si>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</si>
  <si>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</si>
  <si>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</si>
  <si>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</si>
  <si>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</si>
  <si>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</si>
  <si>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</si>
  <si>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ZRN (ř. 1-6)</t>
  </si>
  <si>
    <t>DN (ř. 8-11)</t>
  </si>
  <si>
    <t>NUS (ř. 13-18)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</si>
  <si>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</si>
  <si>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</si>
  <si>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</si>
  <si>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</si>
  <si>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</si>
  <si>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</si>
  <si>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</si>
  <si>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</si>
  <si>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</si>
  <si>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</si>
  <si>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</si>
  <si>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</si>
  <si>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</si>
  <si>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</si>
  <si>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ROZPOČET</t>
  </si>
  <si>
    <t>Objekt:</t>
  </si>
  <si>
    <t>Část:</t>
  </si>
  <si>
    <t>JKSO:</t>
  </si>
  <si>
    <t>P.Č.</t>
  </si>
  <si>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</si>
  <si>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</si>
  <si>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</si>
  <si>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</si>
  <si>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</si>
  <si>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</si>
  <si>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</si>
  <si>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</si>
  <si>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</si>
  <si>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</si>
  <si>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</si>
  <si>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</si>
  <si>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</si>
  <si>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</si>
  <si>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</si>
  <si>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</si>
  <si>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</si>
  <si>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</si>
  <si>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</si>
  <si>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</si>
  <si>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</si>
  <si>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</si>
  <si>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112101101</t>
  </si>
  <si>
    <t>Kácení stromů listnatých D kmene do 300 mm</t>
  </si>
  <si>
    <t>kus</t>
  </si>
  <si>
    <t>2</t>
  </si>
  <si>
    <t>112201101</t>
  </si>
  <si>
    <t>Odstranění pařezů D do 300 mm</t>
  </si>
  <si>
    <t>3</t>
  </si>
  <si>
    <t>221</t>
  </si>
  <si>
    <t>113106241</t>
  </si>
  <si>
    <t>Rozebrání vozovek ze silničních dílců</t>
  </si>
  <si>
    <t>m2</t>
  </si>
  <si>
    <t>4</t>
  </si>
  <si>
    <t>113107152</t>
  </si>
  <si>
    <t>Odstranění podkladu pl přes 50 do 200 m2 z kameniva těženého tl 200 mm</t>
  </si>
  <si>
    <t>5</t>
  </si>
  <si>
    <t>115101201</t>
  </si>
  <si>
    <t>Čerpání vody na dopravní výšku do 10 m průměrný přítok do 500 l/min</t>
  </si>
  <si>
    <t>hod</t>
  </si>
  <si>
    <t>6</t>
  </si>
  <si>
    <t>115101301</t>
  </si>
  <si>
    <t>Pohotovost čerpací soupravy pro dopravní výšku do 10 m přítok do 500 l/min</t>
  </si>
  <si>
    <t>den</t>
  </si>
  <si>
    <t>7</t>
  </si>
  <si>
    <t>121101101</t>
  </si>
  <si>
    <t>Sejmutí ornice s přemístěním na vzdálenost do 50 m</t>
  </si>
  <si>
    <t>m3</t>
  </si>
  <si>
    <t>8</t>
  </si>
  <si>
    <t>131201203</t>
  </si>
  <si>
    <t>Hloubení jam zapažených v hornině tř. 3 objemu do 5000 m3</t>
  </si>
  <si>
    <t>9</t>
  </si>
  <si>
    <t>131201209</t>
  </si>
  <si>
    <t>Příplatek za lepivost u hloubení jam zapažených v hornině tř. 3</t>
  </si>
  <si>
    <t>10</t>
  </si>
  <si>
    <t>132201101</t>
  </si>
  <si>
    <t>Hloubení rýh š do 600 mm v hornině tř. 3 objemu do 100 m3</t>
  </si>
  <si>
    <t>11</t>
  </si>
  <si>
    <t>132201109</t>
  </si>
  <si>
    <t>Příplatek za lepivost k hloubení rýh š do 600 mm v hornině tř. 3</t>
  </si>
  <si>
    <t>12</t>
  </si>
  <si>
    <t>151101201</t>
  </si>
  <si>
    <t>Zřízení příložného pažení stěn výkopu hl do 4 m</t>
  </si>
  <si>
    <t>13</t>
  </si>
  <si>
    <t>151101211</t>
  </si>
  <si>
    <t>Odstranění příložného pažení stěn hl do 4 m</t>
  </si>
  <si>
    <t>14</t>
  </si>
  <si>
    <t>151101301</t>
  </si>
  <si>
    <t>Zřízení rozepření stěn při pažení příložném hl do 4 m</t>
  </si>
  <si>
    <t>15</t>
  </si>
  <si>
    <t>151101311</t>
  </si>
  <si>
    <t>Odstranění rozepření stěn při pažení příložném hl do 4 m</t>
  </si>
  <si>
    <t>16</t>
  </si>
  <si>
    <t>151101401</t>
  </si>
  <si>
    <t>Zřízení vzepření stěn při pažení příložném hl do 4 m</t>
  </si>
  <si>
    <t>17</t>
  </si>
  <si>
    <t>151101411</t>
  </si>
  <si>
    <t>Odstranění vzepření stěn při pažení příložném hl do 4 m</t>
  </si>
  <si>
    <t>18</t>
  </si>
  <si>
    <t>162301401</t>
  </si>
  <si>
    <t>Vodorovné přemístění větví stromů listnatých do 5 km D kmene do 300 mm</t>
  </si>
  <si>
    <t>19</t>
  </si>
  <si>
    <t>162301411</t>
  </si>
  <si>
    <t>Vodorovné přemístění kmenů stromů listnatých do 5 km D kmene do 300 mm</t>
  </si>
  <si>
    <t>20</t>
  </si>
  <si>
    <t>162301421</t>
  </si>
  <si>
    <t>Vodorovné přemístění pařezů do 5 km D do 300 mm</t>
  </si>
  <si>
    <t>21</t>
  </si>
  <si>
    <t>162601102</t>
  </si>
  <si>
    <t>Vodorovné přemístění do 5000 m výkopku/sypaniny z horniny tř. 1 až 4</t>
  </si>
  <si>
    <t>22</t>
  </si>
  <si>
    <t>162701105</t>
  </si>
  <si>
    <t>Vodorovné přemístění do 10000 m výkopku/sypaniny z horniny tř. 1 až 4</t>
  </si>
  <si>
    <t>23</t>
  </si>
  <si>
    <t>PK</t>
  </si>
  <si>
    <t>162709001</t>
  </si>
  <si>
    <t>Nákup vhodné zeminy vč. naložení</t>
  </si>
  <si>
    <t>24</t>
  </si>
  <si>
    <t>167101102</t>
  </si>
  <si>
    <t>Nakládání výkopku z hornin tř. 1 až 4 přes 100 m3</t>
  </si>
  <si>
    <t>25</t>
  </si>
  <si>
    <t>171201201</t>
  </si>
  <si>
    <t>Uložení sypaniny na skládky</t>
  </si>
  <si>
    <t>26</t>
  </si>
  <si>
    <t>174101101</t>
  </si>
  <si>
    <t>Zásyp jam, šachet rýh nebo kolem objektů sypaninou se zhutněním</t>
  </si>
  <si>
    <t>27</t>
  </si>
  <si>
    <t>175101101</t>
  </si>
  <si>
    <t>Obsypání potrubí bez prohození sypaniny z hornin tř. 1 až 4 uloženým do 3 m od kraje výkopu</t>
  </si>
  <si>
    <t>28</t>
  </si>
  <si>
    <t>M</t>
  </si>
  <si>
    <t>MAT</t>
  </si>
  <si>
    <t>583439300</t>
  </si>
  <si>
    <t>kamenivo drcené hrubé frakce 16-64</t>
  </si>
  <si>
    <t>t</t>
  </si>
  <si>
    <t>29</t>
  </si>
  <si>
    <t>181301103</t>
  </si>
  <si>
    <t>Rozprostření ornice tl vrstvy do 200 mm pl do 500 m2 v rovině nebo ve svahu do 1:5</t>
  </si>
  <si>
    <t>30</t>
  </si>
  <si>
    <t>231</t>
  </si>
  <si>
    <t>181411131</t>
  </si>
  <si>
    <t>Založení parkového trávníku výsevem plochy do 1000 m2 v rovině a ve svahu do 1:5</t>
  </si>
  <si>
    <t>31</t>
  </si>
  <si>
    <t>005724100</t>
  </si>
  <si>
    <t>osivo směs travní parková</t>
  </si>
  <si>
    <t>kg</t>
  </si>
  <si>
    <t>32</t>
  </si>
  <si>
    <t>183403111</t>
  </si>
  <si>
    <t>Obdělání půdy nakopáním na hloubku do 0,1 m v rovině a svahu do 1:5</t>
  </si>
  <si>
    <t>33</t>
  </si>
  <si>
    <t>183403153</t>
  </si>
  <si>
    <t>Obdělání půdy hrabáním v rovině a svahu do 1:5</t>
  </si>
  <si>
    <t>34</t>
  </si>
  <si>
    <t>183403161</t>
  </si>
  <si>
    <t>Obdělání půdy válením v rovině a svahu do 1:5</t>
  </si>
  <si>
    <t>35</t>
  </si>
  <si>
    <t>183403371</t>
  </si>
  <si>
    <t>Obdělání půdy dusáním ve svahu do 1:1</t>
  </si>
  <si>
    <t>36</t>
  </si>
  <si>
    <t>184999001</t>
  </si>
  <si>
    <t>Odstranění stávajících vrtů</t>
  </si>
  <si>
    <t>ks</t>
  </si>
  <si>
    <t>Zakládání</t>
  </si>
  <si>
    <t>37</t>
  </si>
  <si>
    <t>271</t>
  </si>
  <si>
    <t>212752213</t>
  </si>
  <si>
    <t>Trativod z drenážních trubek plastových flexibilních D do 160 mm včetně lože otevřený výkop</t>
  </si>
  <si>
    <t>m</t>
  </si>
  <si>
    <t>38</t>
  </si>
  <si>
    <t>002</t>
  </si>
  <si>
    <t>225319001</t>
  </si>
  <si>
    <t>Zřízení infiltračních vrtů pr. 160 mm vč. vystrojení</t>
  </si>
  <si>
    <t>39</t>
  </si>
  <si>
    <t>225319002</t>
  </si>
  <si>
    <t>Zřízení pozorovacích vrtů pr. 110 mm vč. vystrojení</t>
  </si>
  <si>
    <t>Komunikace</t>
  </si>
  <si>
    <t>40</t>
  </si>
  <si>
    <t>564251111</t>
  </si>
  <si>
    <t>Podklad nebo podsyp ze štěrkopísku ŠP tl 150 mm</t>
  </si>
  <si>
    <t>41</t>
  </si>
  <si>
    <t>584121111</t>
  </si>
  <si>
    <t>Osazení silničních dílců z ŽB do lože z kameniva těženého tl 40 mm</t>
  </si>
  <si>
    <t>42</t>
  </si>
  <si>
    <t>593811851</t>
  </si>
  <si>
    <t>panel silniční tl.21,5 cm</t>
  </si>
  <si>
    <t>Trubní vedení</t>
  </si>
  <si>
    <t>43</t>
  </si>
  <si>
    <t>894401211</t>
  </si>
  <si>
    <t>Osazení betonových dílců pro šachty skruží rovných</t>
  </si>
  <si>
    <t>44</t>
  </si>
  <si>
    <t>592238261</t>
  </si>
  <si>
    <t>skruž betonová 600x500 mm</t>
  </si>
  <si>
    <t>99</t>
  </si>
  <si>
    <t>Přesun hmot</t>
  </si>
  <si>
    <t>45</t>
  </si>
  <si>
    <t>997221551</t>
  </si>
  <si>
    <t>Vodorovná doprava suti do 1 km</t>
  </si>
  <si>
    <t>46</t>
  </si>
  <si>
    <t>997221559</t>
  </si>
  <si>
    <t xml:space="preserve">Příplatek ZKD 1 km u vodorovné dopravy suti </t>
  </si>
  <si>
    <t>47</t>
  </si>
  <si>
    <t>997221612</t>
  </si>
  <si>
    <t>Nakládání vybouraných hmot na dopravní prostředky pro vodorovnou dopravu</t>
  </si>
  <si>
    <t>48</t>
  </si>
  <si>
    <t>997221855</t>
  </si>
  <si>
    <t>Poplatek za uložení suti na skládku</t>
  </si>
  <si>
    <t>49</t>
  </si>
  <si>
    <t>232</t>
  </si>
  <si>
    <t>998231112</t>
  </si>
  <si>
    <t>Přesun hmot na objektech pro sanaci území</t>
  </si>
  <si>
    <t>Práce a dodávky PSV</t>
  </si>
  <si>
    <t>711</t>
  </si>
  <si>
    <t>Izolace proti vodě, vlhkosti a plynům</t>
  </si>
  <si>
    <t>50</t>
  </si>
  <si>
    <t>711131812</t>
  </si>
  <si>
    <t>Odstranění izolace folii vodorovné</t>
  </si>
  <si>
    <t>51</t>
  </si>
  <si>
    <t>711461105</t>
  </si>
  <si>
    <t>Provedení izolace vodorovné fólií vč. materiálu</t>
  </si>
  <si>
    <t>52</t>
  </si>
  <si>
    <t>998711201</t>
  </si>
  <si>
    <t>Přesun hmot procentní pro izolace proti vodě, vlhkosti a plynům v objektech v do 6 m</t>
  </si>
  <si>
    <t>SO 02 Sanační plocha 2</t>
  </si>
  <si>
    <t>184999002</t>
  </si>
  <si>
    <t>Přesazení stromků</t>
  </si>
  <si>
    <t>184999003</t>
  </si>
  <si>
    <t>Demontáž a zpětná montáž dopravní značky</t>
  </si>
  <si>
    <t>184999004</t>
  </si>
  <si>
    <t>Ochrana,podchycení,dočasné přeložení inž.sítí procházejících výkopem</t>
  </si>
  <si>
    <t>kpl</t>
  </si>
  <si>
    <t>53</t>
  </si>
  <si>
    <t>54</t>
  </si>
  <si>
    <t>55</t>
  </si>
  <si>
    <t>Ministerstvo financí ČR</t>
  </si>
  <si>
    <t>"v.č.D.1.1,D.1.2 + TZ</t>
  </si>
  <si>
    <t>-1</t>
  </si>
  <si>
    <t>"sanační plocha</t>
  </si>
  <si>
    <t>10,00*6,00</t>
  </si>
  <si>
    <t>10,00*6,00*2</t>
  </si>
  <si>
    <t>465,00*0,20</t>
  </si>
  <si>
    <t>1850,00</t>
  </si>
  <si>
    <t>"jáma</t>
  </si>
  <si>
    <t>(21,10+13,20+2,60+10,00+18,50+23,00)*3,75</t>
  </si>
  <si>
    <t>"rýhy pro drén</t>
  </si>
  <si>
    <t>Součet</t>
  </si>
  <si>
    <t>"ornice na mezideponii</t>
  </si>
  <si>
    <t>93,00</t>
  </si>
  <si>
    <t>"ornice zpět</t>
  </si>
  <si>
    <t>"výkopek na mezideponii</t>
  </si>
  <si>
    <t>920,00</t>
  </si>
  <si>
    <t>"výkopek zpět</t>
  </si>
  <si>
    <t>"výkopek</t>
  </si>
  <si>
    <t>930,00</t>
  </si>
  <si>
    <t>"pro zásyp</t>
  </si>
  <si>
    <t>"mezideponie</t>
  </si>
  <si>
    <t>"ornice</t>
  </si>
  <si>
    <t>"odpočet obsypu drénu</t>
  </si>
  <si>
    <t>-16,50</t>
  </si>
  <si>
    <t>"drény</t>
  </si>
  <si>
    <t>16,50</t>
  </si>
  <si>
    <t>465,00</t>
  </si>
  <si>
    <t>62,00</t>
  </si>
  <si>
    <t>5,00*6</t>
  </si>
  <si>
    <t>"v.č.D.2.1,D21.2 + TZ</t>
  </si>
  <si>
    <t>"v.č.D.2.1,D.2.2 + TZ</t>
  </si>
  <si>
    <t>175,00*0,20</t>
  </si>
  <si>
    <t>700,00</t>
  </si>
  <si>
    <t>(11,40+17,50+4,30+4,30+7,80+13,40)*3,75</t>
  </si>
  <si>
    <t>35,00</t>
  </si>
  <si>
    <t>350,00</t>
  </si>
  <si>
    <t>-11,20</t>
  </si>
  <si>
    <t>11,20</t>
  </si>
  <si>
    <t>175,00</t>
  </si>
  <si>
    <t>"v.č.D.2.1,D2.2 + TZ</t>
  </si>
  <si>
    <t>47,00</t>
  </si>
  <si>
    <t>5,00*4</t>
  </si>
  <si>
    <t>"v.č.D.2.1.1,D.2.2 + TZ</t>
  </si>
  <si>
    <t>23.00*0.60*0.60*2</t>
  </si>
  <si>
    <t>23.00*0.60*2*2</t>
  </si>
  <si>
    <t>(17.50+13.40)*0.60*0.60</t>
  </si>
  <si>
    <t>(17.50+13.40)*0.60*2</t>
  </si>
  <si>
    <t>24*25</t>
  </si>
  <si>
    <t>Položkový rozpočet - sanace</t>
  </si>
  <si>
    <t>Činnost</t>
  </si>
  <si>
    <t>Jednotka</t>
  </si>
  <si>
    <t>Počet</t>
  </si>
  <si>
    <t>Jedn. cena</t>
  </si>
  <si>
    <t>Sanace zemin saturované zóny</t>
  </si>
  <si>
    <t>j.</t>
  </si>
  <si>
    <t>45112340-0</t>
  </si>
  <si>
    <t>Odstranění kontaminované zeminy - skládkování</t>
  </si>
  <si>
    <t>Přeprava zeminy k odstranění (do 20km)</t>
  </si>
  <si>
    <t>Sanace podzemní vody</t>
  </si>
  <si>
    <t>45232451-8</t>
  </si>
  <si>
    <t>Opakované odčerpávání volné fáze NEL ohnisko 5 (visteon 02)</t>
  </si>
  <si>
    <t>Stabilizace vodočtu Jičínka, Grasmanka</t>
  </si>
  <si>
    <t>Zaměření nových vrtů a vodočtů</t>
  </si>
  <si>
    <t>Zaměření výkopových jam ohnisko 1 a 3</t>
  </si>
  <si>
    <t>Stavební čerpání ohniska 1 a 3</t>
  </si>
  <si>
    <t>45252000-8</t>
  </si>
  <si>
    <t>Vybudování sanačních ploch - technologie stavebního čerpání (ohnisko 1 a 3)</t>
  </si>
  <si>
    <t>Instalace dekontaminační jednotky - stavební čerpání (ohniska 1 a 3)</t>
  </si>
  <si>
    <t>Přeprava technologie pro stavební čerpání</t>
  </si>
  <si>
    <t>Rozvody (ohnisko 1 a 3)</t>
  </si>
  <si>
    <t>Kabelové rozvody (ohnisko 1 a 3)</t>
  </si>
  <si>
    <t>Instalace akumulační a odkalovací nádrže</t>
  </si>
  <si>
    <t>Aktivní uhlí, nákup, manipulace, užití</t>
  </si>
  <si>
    <t>Vypouštění dekontaminované vody do kanalizace (50 dnů)</t>
  </si>
  <si>
    <t>45259200-9</t>
  </si>
  <si>
    <t>měsíc</t>
  </si>
  <si>
    <t>Deinstalace sanační technologie - stavební čerpání (ohniska 1 a 3) vč. dopravy</t>
  </si>
  <si>
    <t>Aplikace oxidačního činidla - metoda ISCO - ohniska 1, 3 a 4</t>
  </si>
  <si>
    <t>Vybudování sanačních ploch - technologie ISCO</t>
  </si>
  <si>
    <t xml:space="preserve">Laboratorní testy a kolonové testy (DOC, TOC)  </t>
  </si>
  <si>
    <t xml:space="preserve">Stopovací zkoušky </t>
  </si>
  <si>
    <t>Poloprovozní test ISCO (pilotní test)</t>
  </si>
  <si>
    <t>Přeprava technologie</t>
  </si>
  <si>
    <t>Instalace ISCO technologie, vč. zabezpečení proti úniku oxid. činidla, skladování</t>
  </si>
  <si>
    <t>90114100-0</t>
  </si>
  <si>
    <t>Provoz míchacího zařízení oxid. činidla</t>
  </si>
  <si>
    <t>dávka</t>
  </si>
  <si>
    <t>Infiltrace oxidačního činidla vč. nákupu manganistanu</t>
  </si>
  <si>
    <t>Obsluha sanační soupravy, sledování postupu oxidace</t>
  </si>
  <si>
    <t>Likvidace sanačních děl , vrty, drény (tamponáž)</t>
  </si>
  <si>
    <t>Instalace "Nortonek" (vpichované sondy)</t>
  </si>
  <si>
    <t>Sanační monitoring</t>
  </si>
  <si>
    <t>903 130 00 - 4</t>
  </si>
  <si>
    <t>Odběr vzorků zemin</t>
  </si>
  <si>
    <t>vzorek</t>
  </si>
  <si>
    <t>Odběr vzorků vody - dynamicky</t>
  </si>
  <si>
    <t>Odběr vzorků vody staticky</t>
  </si>
  <si>
    <t>Odběr vzorků vody - základní sada pro posouzení účinnosti oxidace</t>
  </si>
  <si>
    <t>Odběr vzorků - stanovení vyluhovatelnosti</t>
  </si>
  <si>
    <t>Stanovení NEL, CLU, C10-C40 v zemině v sušině</t>
  </si>
  <si>
    <t>rozbor</t>
  </si>
  <si>
    <t>Stanovení vyluhovatelnosti</t>
  </si>
  <si>
    <t>Stanovení NEL ve vodě</t>
  </si>
  <si>
    <r>
      <t>Stanovení C</t>
    </r>
    <r>
      <rPr>
        <vertAlign val="subscript"/>
        <sz val="8"/>
        <rFont val="MS Sans Serif"/>
        <family val="2"/>
      </rPr>
      <t>10</t>
    </r>
    <r>
      <rPr>
        <sz val="8"/>
        <rFont val="MS Sans Serif"/>
        <family val="2"/>
      </rPr>
      <t>-C</t>
    </r>
    <r>
      <rPr>
        <vertAlign val="subscript"/>
        <sz val="8"/>
        <rFont val="MS Sans Serif"/>
        <family val="2"/>
      </rPr>
      <t>40</t>
    </r>
  </si>
  <si>
    <t>Stanovení ClU v podzemní vodě (včetně VC)</t>
  </si>
  <si>
    <t>Stanovení ClU v povrchové vodě (včetně VC)</t>
  </si>
  <si>
    <t>Stanovení - základní sada pro posouzení účinnosti oxidace</t>
  </si>
  <si>
    <t>Zkrácený chemický rozbor ZCHR</t>
  </si>
  <si>
    <t>Záměry hladiny podzemní vody</t>
  </si>
  <si>
    <t>záměr</t>
  </si>
  <si>
    <t>Údaje ČHMÚ</t>
  </si>
  <si>
    <t>sada</t>
  </si>
  <si>
    <t>Přeprava vzorků</t>
  </si>
  <si>
    <t>km</t>
  </si>
  <si>
    <t>Postsanační monitoring</t>
  </si>
  <si>
    <t>Vzorky podzemní vody - dynamicky</t>
  </si>
  <si>
    <t>Stanovení CLU</t>
  </si>
  <si>
    <t>ZCHR</t>
  </si>
  <si>
    <t>Práce geologické služby</t>
  </si>
  <si>
    <t>901 221 20 - 5</t>
  </si>
  <si>
    <t>Projednání ve VP řízení, inženýrská činnost</t>
  </si>
  <si>
    <t>hod.</t>
  </si>
  <si>
    <t>Sled, řízení a koordinace prací - nesaturované zóny</t>
  </si>
  <si>
    <t>Sled, řízení a koordinace prací - sanace podzemní vody</t>
  </si>
  <si>
    <t>Počítačové zpracování dat</t>
  </si>
  <si>
    <t>Vyhodnocení prací - etapové a roční zprávy</t>
  </si>
  <si>
    <t>Vyhodnocení prací - závěrečná zpráva</t>
  </si>
  <si>
    <t>Práce konzultantů a specialistů</t>
  </si>
  <si>
    <t>Kompletace a reprodukce</t>
  </si>
  <si>
    <t>Plnění databáze SEKM a Priority KM</t>
  </si>
  <si>
    <t>Aktualizace analýzy rizik</t>
  </si>
  <si>
    <t>Přeprava</t>
  </si>
  <si>
    <t>Celkové náklady na sanaci</t>
  </si>
  <si>
    <t xml:space="preserve">    SO 01 - Sanační plocha 1   </t>
  </si>
  <si>
    <t xml:space="preserve">    SO 02 - Sanační plocha 2   </t>
  </si>
  <si>
    <t>Záměry hladiny podzemní vody (12x) - kvartálně po dobu 36 měsíců</t>
  </si>
  <si>
    <t>Vybudování manipulační plochy pro deponii nekontaminované zeminy</t>
  </si>
  <si>
    <t>Obsluha sanační soupravy, provoz soupravy</t>
  </si>
  <si>
    <t>Odstraňování AU a ostatních odpadů z dekontaminace</t>
  </si>
  <si>
    <t>bm</t>
  </si>
  <si>
    <t>90122120-5</t>
  </si>
  <si>
    <t>90313000-4</t>
  </si>
  <si>
    <t>(prázdné)</t>
  </si>
  <si>
    <t>Celkový součet</t>
  </si>
  <si>
    <t>45232451-8 Celkem</t>
  </si>
  <si>
    <t>45252000-8 Celkem</t>
  </si>
  <si>
    <t>90114100-0 Celkem</t>
  </si>
  <si>
    <t>90122120-5 Celkem</t>
  </si>
  <si>
    <t>90313000-4 Celkem</t>
  </si>
  <si>
    <t>(prázdné) Celkem</t>
  </si>
  <si>
    <t>Počet z Celkem</t>
  </si>
  <si>
    <t>Data</t>
  </si>
  <si>
    <t>Součet z Celkem</t>
  </si>
  <si>
    <t>CELKEM</t>
  </si>
  <si>
    <t>90522200-4</t>
  </si>
  <si>
    <t>90522100-3</t>
  </si>
  <si>
    <t>90522200-4 Celkem</t>
  </si>
  <si>
    <t>90522100-3 Celkem</t>
  </si>
  <si>
    <t>Nový Jičín - HANON SYSTEMS - sanace</t>
  </si>
  <si>
    <t>Sanace staré ekologické zátěže - Nový Jičín - HANON SYSTEMS</t>
  </si>
  <si>
    <t>POLOŽKOVÝ ROZPOČET</t>
  </si>
  <si>
    <t>90481000-2</t>
  </si>
  <si>
    <t>90522000-2</t>
  </si>
  <si>
    <t>90733700-1</t>
  </si>
  <si>
    <t>45112000-5</t>
  </si>
  <si>
    <t>45232451-8
45252000-8
90481000-2
90522000-2
90733700-1
90522200-4
90522100-3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</si>
</sst>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#,##0.00;\-#,##0.00"/>
    <numFmt numFmtId="165" formatCode="####;\-####"/>
    <numFmt numFmtId="166" formatCode="#,##0;\-#,##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43">
    <font>
      <sz val="8"/>
      <name val="MS Sans Serif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color indexed="12"/>
      <name val="Arial CE"/>
      <family val="2"/>
    </font>
    <font>
      <b/>
      <sz val="18"/>
      <color indexed="10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b/>
      <sz val="8"/>
      <name val="MS Sans Serif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vertAlign val="subscript"/>
      <sz val="8"/>
      <name val="MS Sans Serif"/>
      <family val="2"/>
    </font>
    <font>
      <b/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Arial CE"/>
      <family val="2"/>
    </font>
    <font>
      <sz val="8"/>
      <color rgb="FFFF0000"/>
      <name val="MS Sans Serif"/>
      <family val="2"/>
    </font>
    <font>
      <b/>
      <sz val="10"/>
      <color rgb="FFFF0000"/>
      <name val="Arial CE"/>
      <family val="2"/>
    </font>
    <font>
      <b/>
      <sz val="10"/>
      <color rgb="FF000000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rgb="FF00000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65"/>
      </top>
      <bottom/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</cellStyleXfs>
  <cellXfs count="45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1" fillId="0" borderId="2" xfId="21" applyFont="1" applyBorder="1" applyAlignment="1" applyProtection="1">
      <alignment horizontal="left"/>
      <protection/>
    </xf>
    <xf numFmtId="0" fontId="1" fillId="0" borderId="3" xfId="21" applyFont="1" applyBorder="1" applyAlignment="1" applyProtection="1">
      <alignment horizontal="left"/>
      <protection/>
    </xf>
    <xf numFmtId="0" fontId="1" fillId="0" borderId="4" xfId="21" applyFont="1" applyBorder="1" applyAlignment="1" applyProtection="1">
      <alignment horizontal="left"/>
      <protection/>
    </xf>
    <xf numFmtId="0" fontId="1" fillId="0" borderId="0" xfId="21" applyAlignment="1" applyProtection="1">
      <alignment horizontal="left" vertical="top"/>
      <protection/>
    </xf>
    <xf numFmtId="0" fontId="9" fillId="0" borderId="3" xfId="21" applyFont="1" applyBorder="1" applyAlignment="1" applyProtection="1">
      <alignment horizontal="left"/>
      <protection/>
    </xf>
    <xf numFmtId="0" fontId="1" fillId="0" borderId="5" xfId="21" applyFont="1" applyBorder="1" applyAlignment="1" applyProtection="1">
      <alignment horizontal="left"/>
      <protection/>
    </xf>
    <xf numFmtId="0" fontId="1" fillId="0" borderId="6" xfId="21" applyFont="1" applyBorder="1" applyAlignment="1" applyProtection="1">
      <alignment horizontal="left"/>
      <protection/>
    </xf>
    <xf numFmtId="0" fontId="1" fillId="0" borderId="7" xfId="21" applyFont="1" applyBorder="1" applyAlignment="1" applyProtection="1">
      <alignment horizontal="left"/>
      <protection/>
    </xf>
    <xf numFmtId="0" fontId="3" fillId="0" borderId="2" xfId="21" applyFont="1" applyBorder="1" applyAlignment="1" applyProtection="1">
      <alignment horizontal="left" vertical="center"/>
      <protection/>
    </xf>
    <xf numFmtId="0" fontId="3" fillId="0" borderId="3" xfId="21" applyFont="1" applyBorder="1" applyAlignment="1" applyProtection="1">
      <alignment horizontal="left" vertical="center"/>
      <protection/>
    </xf>
    <xf numFmtId="0" fontId="3" fillId="0" borderId="4" xfId="21" applyFont="1" applyBorder="1" applyAlignment="1" applyProtection="1">
      <alignment horizontal="left" vertical="center"/>
      <protection/>
    </xf>
    <xf numFmtId="0" fontId="3" fillId="0" borderId="8" xfId="21" applyFont="1" applyBorder="1" applyAlignment="1" applyProtection="1">
      <alignment horizontal="left" vertical="center"/>
      <protection/>
    </xf>
    <xf numFmtId="0" fontId="3" fillId="0" borderId="0" xfId="21" applyFont="1" applyAlignment="1" applyProtection="1">
      <alignment horizontal="left" vertical="center"/>
      <protection/>
    </xf>
    <xf numFmtId="0" fontId="6" fillId="0" borderId="9" xfId="21" applyFont="1" applyBorder="1" applyAlignment="1" applyProtection="1">
      <alignment horizontal="left" vertical="center"/>
      <protection/>
    </xf>
    <xf numFmtId="165" fontId="6" fillId="0" borderId="10" xfId="21" applyNumberFormat="1" applyFont="1" applyBorder="1" applyAlignment="1" applyProtection="1">
      <alignment horizontal="right" vertical="center"/>
      <protection/>
    </xf>
    <xf numFmtId="0" fontId="3" fillId="0" borderId="11" xfId="21" applyFont="1" applyBorder="1" applyAlignment="1" applyProtection="1">
      <alignment horizontal="left" vertical="center"/>
      <protection/>
    </xf>
    <xf numFmtId="0" fontId="3" fillId="0" borderId="12" xfId="21" applyFont="1" applyBorder="1" applyAlignment="1" applyProtection="1">
      <alignment horizontal="left" vertical="center"/>
      <protection/>
    </xf>
    <xf numFmtId="0" fontId="3" fillId="0" borderId="13" xfId="21" applyFont="1" applyBorder="1" applyAlignment="1" applyProtection="1">
      <alignment horizontal="left" vertical="center"/>
      <protection/>
    </xf>
    <xf numFmtId="165" fontId="6" fillId="0" borderId="14" xfId="21" applyNumberFormat="1" applyFont="1" applyBorder="1" applyAlignment="1" applyProtection="1">
      <alignment horizontal="right" vertical="center"/>
      <protection/>
    </xf>
    <xf numFmtId="165" fontId="6" fillId="0" borderId="0" xfId="21" applyNumberFormat="1" applyFont="1" applyAlignment="1" applyProtection="1">
      <alignment horizontal="right" vertical="center"/>
      <protection/>
    </xf>
    <xf numFmtId="0" fontId="6" fillId="0" borderId="14" xfId="21" applyFont="1" applyBorder="1" applyAlignment="1" applyProtection="1">
      <alignment horizontal="left" vertical="center"/>
      <protection/>
    </xf>
    <xf numFmtId="0" fontId="6" fillId="0" borderId="0" xfId="21" applyFont="1" applyAlignment="1" applyProtection="1">
      <alignment horizontal="left" vertical="top" wrapText="1"/>
      <protection/>
    </xf>
    <xf numFmtId="0" fontId="6" fillId="0" borderId="0" xfId="21" applyFont="1" applyAlignment="1" applyProtection="1">
      <alignment horizontal="left" vertical="top"/>
      <protection/>
    </xf>
    <xf numFmtId="0" fontId="3" fillId="0" borderId="10" xfId="21" applyFont="1" applyBorder="1" applyAlignment="1" applyProtection="1">
      <alignment horizontal="left" vertical="center"/>
      <protection/>
    </xf>
    <xf numFmtId="0" fontId="6" fillId="0" borderId="15" xfId="21" applyFont="1" applyBorder="1" applyAlignment="1" applyProtection="1">
      <alignment horizontal="left" vertical="center"/>
      <protection/>
    </xf>
    <xf numFmtId="0" fontId="3" fillId="0" borderId="16" xfId="21" applyFont="1" applyBorder="1" applyAlignment="1" applyProtection="1">
      <alignment horizontal="left" vertical="center"/>
      <protection/>
    </xf>
    <xf numFmtId="0" fontId="3" fillId="0" borderId="17" xfId="21" applyFont="1" applyBorder="1" applyAlignment="1" applyProtection="1">
      <alignment horizontal="left" vertical="center"/>
      <protection/>
    </xf>
    <xf numFmtId="0" fontId="3" fillId="0" borderId="18" xfId="21" applyFont="1" applyBorder="1" applyAlignment="1" applyProtection="1">
      <alignment horizontal="left" vertical="center"/>
      <protection/>
    </xf>
    <xf numFmtId="0" fontId="3" fillId="0" borderId="19" xfId="21" applyFont="1" applyBorder="1" applyAlignment="1" applyProtection="1">
      <alignment horizontal="left" vertical="center"/>
      <protection/>
    </xf>
    <xf numFmtId="0" fontId="3" fillId="0" borderId="5" xfId="21" applyFont="1" applyBorder="1" applyAlignment="1" applyProtection="1">
      <alignment horizontal="left" vertical="center"/>
      <protection/>
    </xf>
    <xf numFmtId="0" fontId="3" fillId="0" borderId="6" xfId="21" applyFont="1" applyBorder="1" applyAlignment="1" applyProtection="1">
      <alignment horizontal="left" vertical="center"/>
      <protection/>
    </xf>
    <xf numFmtId="0" fontId="3" fillId="0" borderId="7" xfId="21" applyFont="1" applyBorder="1" applyAlignment="1" applyProtection="1">
      <alignment horizontal="left" vertical="center"/>
      <protection/>
    </xf>
    <xf numFmtId="0" fontId="3" fillId="0" borderId="20" xfId="21" applyFont="1" applyBorder="1" applyAlignment="1" applyProtection="1">
      <alignment horizontal="left" vertical="center"/>
      <protection/>
    </xf>
    <xf numFmtId="0" fontId="3" fillId="0" borderId="21" xfId="21" applyFont="1" applyBorder="1" applyAlignment="1" applyProtection="1">
      <alignment horizontal="left" vertical="center"/>
      <protection/>
    </xf>
    <xf numFmtId="0" fontId="12" fillId="0" borderId="21" xfId="21" applyFont="1" applyBorder="1" applyAlignment="1" applyProtection="1">
      <alignment horizontal="left" vertical="center"/>
      <protection/>
    </xf>
    <xf numFmtId="0" fontId="3" fillId="0" borderId="22" xfId="21" applyFont="1" applyBorder="1" applyAlignment="1" applyProtection="1">
      <alignment horizontal="left" vertical="center"/>
      <protection/>
    </xf>
    <xf numFmtId="0" fontId="3" fillId="0" borderId="23" xfId="21" applyFont="1" applyBorder="1" applyAlignment="1" applyProtection="1">
      <alignment horizontal="left" vertical="center"/>
      <protection/>
    </xf>
    <xf numFmtId="0" fontId="3" fillId="0" borderId="24" xfId="21" applyFont="1" applyBorder="1" applyAlignment="1" applyProtection="1">
      <alignment horizontal="left" vertical="center"/>
      <protection/>
    </xf>
    <xf numFmtId="0" fontId="3" fillId="0" borderId="25" xfId="21" applyFont="1" applyBorder="1" applyAlignment="1" applyProtection="1">
      <alignment horizontal="left" vertical="center"/>
      <protection/>
    </xf>
    <xf numFmtId="0" fontId="3" fillId="0" borderId="26" xfId="21" applyFont="1" applyBorder="1" applyAlignment="1" applyProtection="1">
      <alignment horizontal="left" vertical="center"/>
      <protection/>
    </xf>
    <xf numFmtId="0" fontId="3" fillId="0" borderId="27" xfId="21" applyFont="1" applyBorder="1" applyAlignment="1" applyProtection="1">
      <alignment horizontal="left" vertical="center"/>
      <protection/>
    </xf>
    <xf numFmtId="166" fontId="1" fillId="0" borderId="28" xfId="21" applyNumberFormat="1" applyFont="1" applyBorder="1" applyAlignment="1" applyProtection="1">
      <alignment horizontal="right" vertical="center"/>
      <protection/>
    </xf>
    <xf numFmtId="166" fontId="1" fillId="0" borderId="29" xfId="21" applyNumberFormat="1" applyFont="1" applyBorder="1" applyAlignment="1" applyProtection="1">
      <alignment horizontal="right" vertical="center"/>
      <protection/>
    </xf>
    <xf numFmtId="166" fontId="13" fillId="0" borderId="30" xfId="21" applyNumberFormat="1" applyFont="1" applyBorder="1" applyAlignment="1" applyProtection="1">
      <alignment horizontal="right" vertical="center"/>
      <protection/>
    </xf>
    <xf numFmtId="164" fontId="13" fillId="0" borderId="31" xfId="21" applyNumberFormat="1" applyFont="1" applyBorder="1" applyAlignment="1" applyProtection="1">
      <alignment horizontal="right" vertical="center"/>
      <protection/>
    </xf>
    <xf numFmtId="166" fontId="1" fillId="0" borderId="30" xfId="21" applyNumberFormat="1" applyFont="1" applyBorder="1" applyAlignment="1" applyProtection="1">
      <alignment horizontal="right" vertical="center"/>
      <protection/>
    </xf>
    <xf numFmtId="166" fontId="1" fillId="0" borderId="31" xfId="21" applyNumberFormat="1" applyFont="1" applyBorder="1" applyAlignment="1" applyProtection="1">
      <alignment horizontal="right" vertical="center"/>
      <protection/>
    </xf>
    <xf numFmtId="166" fontId="13" fillId="0" borderId="29" xfId="21" applyNumberFormat="1" applyFont="1" applyBorder="1" applyAlignment="1" applyProtection="1">
      <alignment horizontal="right" vertical="center"/>
      <protection/>
    </xf>
    <xf numFmtId="164" fontId="13" fillId="0" borderId="29" xfId="21" applyNumberFormat="1" applyFont="1" applyBorder="1" applyAlignment="1" applyProtection="1">
      <alignment horizontal="right" vertical="center"/>
      <protection/>
    </xf>
    <xf numFmtId="166" fontId="1" fillId="0" borderId="32" xfId="21" applyNumberFormat="1" applyFont="1" applyBorder="1" applyAlignment="1" applyProtection="1">
      <alignment horizontal="right" vertical="center"/>
      <protection/>
    </xf>
    <xf numFmtId="0" fontId="12" fillId="0" borderId="21" xfId="21" applyFont="1" applyBorder="1" applyAlignment="1" applyProtection="1">
      <alignment horizontal="left" vertical="center" wrapText="1"/>
      <protection/>
    </xf>
    <xf numFmtId="0" fontId="14" fillId="0" borderId="23" xfId="21" applyFont="1" applyBorder="1" applyAlignment="1" applyProtection="1">
      <alignment horizontal="left" vertical="center"/>
      <protection/>
    </xf>
    <xf numFmtId="0" fontId="14" fillId="0" borderId="25" xfId="21" applyFont="1" applyBorder="1" applyAlignment="1" applyProtection="1">
      <alignment horizontal="left" vertical="center"/>
      <protection/>
    </xf>
    <xf numFmtId="0" fontId="12" fillId="0" borderId="26" xfId="21" applyFont="1" applyBorder="1" applyAlignment="1" applyProtection="1">
      <alignment horizontal="left" vertical="center"/>
      <protection/>
    </xf>
    <xf numFmtId="0" fontId="12" fillId="0" borderId="24" xfId="21" applyFont="1" applyBorder="1" applyAlignment="1" applyProtection="1">
      <alignment horizontal="left" vertical="center"/>
      <protection/>
    </xf>
    <xf numFmtId="0" fontId="12" fillId="0" borderId="27" xfId="21" applyFont="1" applyBorder="1" applyAlignment="1" applyProtection="1">
      <alignment horizontal="left" vertical="center"/>
      <protection/>
    </xf>
    <xf numFmtId="0" fontId="12" fillId="0" borderId="25" xfId="21" applyFont="1" applyBorder="1" applyAlignment="1" applyProtection="1">
      <alignment horizontal="left" vertical="center"/>
      <protection/>
    </xf>
    <xf numFmtId="165" fontId="3" fillId="0" borderId="33" xfId="21" applyNumberFormat="1" applyFont="1" applyBorder="1" applyAlignment="1" applyProtection="1">
      <alignment horizontal="center" vertical="center"/>
      <protection/>
    </xf>
    <xf numFmtId="0" fontId="4" fillId="0" borderId="9" xfId="21" applyFont="1" applyBorder="1" applyAlignment="1" applyProtection="1">
      <alignment horizontal="left" vertical="center"/>
      <protection/>
    </xf>
    <xf numFmtId="0" fontId="3" fillId="0" borderId="34" xfId="21" applyFont="1" applyBorder="1" applyAlignment="1" applyProtection="1">
      <alignment horizontal="left" vertical="center"/>
      <protection/>
    </xf>
    <xf numFmtId="164" fontId="13" fillId="0" borderId="15" xfId="21" applyNumberFormat="1" applyFont="1" applyBorder="1" applyAlignment="1" applyProtection="1">
      <alignment horizontal="right" vertical="center"/>
      <protection/>
    </xf>
    <xf numFmtId="0" fontId="3" fillId="0" borderId="35" xfId="21" applyFont="1" applyBorder="1" applyAlignment="1" applyProtection="1">
      <alignment horizontal="left" vertical="center"/>
      <protection/>
    </xf>
    <xf numFmtId="0" fontId="3" fillId="0" borderId="15" xfId="21" applyFont="1" applyBorder="1" applyAlignment="1" applyProtection="1">
      <alignment horizontal="left" vertical="center"/>
      <protection/>
    </xf>
    <xf numFmtId="164" fontId="1" fillId="0" borderId="15" xfId="21" applyNumberFormat="1" applyFont="1" applyBorder="1" applyAlignment="1" applyProtection="1">
      <alignment horizontal="right" vertical="center"/>
      <protection/>
    </xf>
    <xf numFmtId="166" fontId="1" fillId="0" borderId="19" xfId="21" applyNumberFormat="1" applyFont="1" applyBorder="1" applyAlignment="1" applyProtection="1">
      <alignment horizontal="right" vertical="center"/>
      <protection/>
    </xf>
    <xf numFmtId="0" fontId="15" fillId="0" borderId="19" xfId="21" applyFont="1" applyBorder="1" applyAlignment="1" applyProtection="1">
      <alignment horizontal="right" vertical="center"/>
      <protection/>
    </xf>
    <xf numFmtId="0" fontId="15" fillId="0" borderId="16" xfId="21" applyFont="1" applyBorder="1" applyAlignment="1" applyProtection="1">
      <alignment horizontal="left" vertical="center"/>
      <protection/>
    </xf>
    <xf numFmtId="0" fontId="3" fillId="0" borderId="36" xfId="21" applyFont="1" applyBorder="1" applyAlignment="1" applyProtection="1">
      <alignment horizontal="left" vertical="center"/>
      <protection/>
    </xf>
    <xf numFmtId="165" fontId="3" fillId="0" borderId="37" xfId="21" applyNumberFormat="1" applyFont="1" applyBorder="1" applyAlignment="1" applyProtection="1">
      <alignment horizontal="center" vertical="center"/>
      <protection/>
    </xf>
    <xf numFmtId="166" fontId="1" fillId="0" borderId="15" xfId="21" applyNumberFormat="1" applyFont="1" applyBorder="1" applyAlignment="1" applyProtection="1">
      <alignment horizontal="right" vertical="center"/>
      <protection/>
    </xf>
    <xf numFmtId="0" fontId="4" fillId="0" borderId="15" xfId="21" applyFont="1" applyBorder="1" applyAlignment="1" applyProtection="1">
      <alignment horizontal="left" vertical="center"/>
      <protection/>
    </xf>
    <xf numFmtId="164" fontId="13" fillId="0" borderId="20" xfId="21" applyNumberFormat="1" applyFont="1" applyBorder="1" applyAlignment="1" applyProtection="1">
      <alignment horizontal="right" vertical="center"/>
      <protection/>
    </xf>
    <xf numFmtId="164" fontId="1" fillId="0" borderId="20" xfId="21" applyNumberFormat="1" applyFont="1" applyBorder="1" applyAlignment="1" applyProtection="1">
      <alignment horizontal="right" vertical="center"/>
      <protection/>
    </xf>
    <xf numFmtId="166" fontId="1" fillId="0" borderId="22" xfId="21" applyNumberFormat="1" applyFont="1" applyBorder="1" applyAlignment="1" applyProtection="1">
      <alignment horizontal="right" vertical="center"/>
      <protection/>
    </xf>
    <xf numFmtId="0" fontId="3" fillId="0" borderId="38" xfId="21" applyFont="1" applyBorder="1" applyAlignment="1" applyProtection="1">
      <alignment horizontal="left" vertical="center"/>
      <protection/>
    </xf>
    <xf numFmtId="165" fontId="3" fillId="0" borderId="39" xfId="21" applyNumberFormat="1" applyFont="1" applyBorder="1" applyAlignment="1" applyProtection="1">
      <alignment horizontal="center" vertical="center"/>
      <protection/>
    </xf>
    <xf numFmtId="0" fontId="3" fillId="0" borderId="31" xfId="21" applyFont="1" applyBorder="1" applyAlignment="1" applyProtection="1">
      <alignment horizontal="left" vertical="center"/>
      <protection/>
    </xf>
    <xf numFmtId="0" fontId="3" fillId="0" borderId="29" xfId="21" applyFont="1" applyBorder="1" applyAlignment="1" applyProtection="1">
      <alignment horizontal="left" vertical="center"/>
      <protection/>
    </xf>
    <xf numFmtId="0" fontId="3" fillId="0" borderId="30" xfId="21" applyFont="1" applyBorder="1" applyAlignment="1" applyProtection="1">
      <alignment horizontal="left" vertical="center"/>
      <protection/>
    </xf>
    <xf numFmtId="164" fontId="13" fillId="0" borderId="40" xfId="21" applyNumberFormat="1" applyFont="1" applyBorder="1" applyAlignment="1" applyProtection="1">
      <alignment horizontal="right" vertical="center"/>
      <protection/>
    </xf>
    <xf numFmtId="164" fontId="13" fillId="0" borderId="21" xfId="21" applyNumberFormat="1" applyFont="1" applyBorder="1" applyAlignment="1" applyProtection="1">
      <alignment horizontal="right" vertical="center"/>
      <protection/>
    </xf>
    <xf numFmtId="166" fontId="16" fillId="0" borderId="6" xfId="21" applyNumberFormat="1" applyFont="1" applyBorder="1" applyAlignment="1" applyProtection="1">
      <alignment horizontal="right" vertical="center"/>
      <protection/>
    </xf>
    <xf numFmtId="0" fontId="12" fillId="0" borderId="2" xfId="21" applyFont="1" applyBorder="1" applyAlignment="1" applyProtection="1">
      <alignment horizontal="left" vertical="top"/>
      <protection/>
    </xf>
    <xf numFmtId="0" fontId="3" fillId="0" borderId="41" xfId="21" applyFont="1" applyBorder="1" applyAlignment="1" applyProtection="1">
      <alignment horizontal="left" vertical="center"/>
      <protection/>
    </xf>
    <xf numFmtId="0" fontId="3" fillId="0" borderId="42" xfId="21" applyFont="1" applyBorder="1" applyAlignment="1" applyProtection="1">
      <alignment horizontal="left" vertical="center"/>
      <protection/>
    </xf>
    <xf numFmtId="0" fontId="3" fillId="0" borderId="14" xfId="21" applyFont="1" applyBorder="1" applyAlignment="1" applyProtection="1">
      <alignment horizontal="left" vertical="center"/>
      <protection/>
    </xf>
    <xf numFmtId="167" fontId="17" fillId="0" borderId="22" xfId="21" applyNumberFormat="1" applyFont="1" applyBorder="1" applyAlignment="1" applyProtection="1">
      <alignment horizontal="right" vertical="center"/>
      <protection/>
    </xf>
    <xf numFmtId="0" fontId="3" fillId="0" borderId="43" xfId="21" applyFont="1" applyBorder="1" applyAlignment="1" applyProtection="1">
      <alignment horizontal="left"/>
      <protection/>
    </xf>
    <xf numFmtId="0" fontId="3" fillId="0" borderId="36" xfId="21" applyFont="1" applyBorder="1" applyAlignment="1" applyProtection="1">
      <alignment horizontal="left"/>
      <protection/>
    </xf>
    <xf numFmtId="166" fontId="6" fillId="0" borderId="36" xfId="21" applyNumberFormat="1" applyFont="1" applyBorder="1" applyAlignment="1" applyProtection="1">
      <alignment horizontal="right" vertical="center"/>
      <protection/>
    </xf>
    <xf numFmtId="164" fontId="6" fillId="0" borderId="15" xfId="21" applyNumberFormat="1" applyFont="1" applyBorder="1" applyAlignment="1" applyProtection="1">
      <alignment horizontal="right" vertical="center"/>
      <protection/>
    </xf>
    <xf numFmtId="164" fontId="13" fillId="0" borderId="36" xfId="21" applyNumberFormat="1" applyFont="1" applyBorder="1" applyAlignment="1" applyProtection="1">
      <alignment horizontal="right" vertical="center"/>
      <protection/>
    </xf>
    <xf numFmtId="167" fontId="17" fillId="0" borderId="44" xfId="21" applyNumberFormat="1" applyFont="1" applyBorder="1" applyAlignment="1" applyProtection="1">
      <alignment horizontal="right" vertical="center"/>
      <protection/>
    </xf>
    <xf numFmtId="0" fontId="12" fillId="0" borderId="45" xfId="21" applyFont="1" applyBorder="1" applyAlignment="1" applyProtection="1">
      <alignment horizontal="left" vertical="top"/>
      <protection/>
    </xf>
    <xf numFmtId="0" fontId="3" fillId="0" borderId="9" xfId="21" applyFont="1" applyBorder="1" applyAlignment="1" applyProtection="1">
      <alignment horizontal="left" vertical="center"/>
      <protection/>
    </xf>
    <xf numFmtId="166" fontId="6" fillId="0" borderId="15" xfId="21" applyNumberFormat="1" applyFont="1" applyBorder="1" applyAlignment="1" applyProtection="1">
      <alignment horizontal="right" vertical="center"/>
      <protection/>
    </xf>
    <xf numFmtId="167" fontId="17" fillId="0" borderId="35" xfId="21" applyNumberFormat="1" applyFont="1" applyBorder="1" applyAlignment="1" applyProtection="1">
      <alignment horizontal="right" vertical="center"/>
      <protection/>
    </xf>
    <xf numFmtId="0" fontId="12" fillId="0" borderId="31" xfId="21" applyFont="1" applyBorder="1" applyAlignment="1" applyProtection="1">
      <alignment horizontal="left" vertical="center"/>
      <protection/>
    </xf>
    <xf numFmtId="0" fontId="3" fillId="0" borderId="46" xfId="21" applyFont="1" applyBorder="1" applyAlignment="1" applyProtection="1">
      <alignment horizontal="left" vertical="center"/>
      <protection/>
    </xf>
    <xf numFmtId="164" fontId="18" fillId="0" borderId="47" xfId="21" applyNumberFormat="1" applyFont="1" applyBorder="1" applyAlignment="1" applyProtection="1">
      <alignment horizontal="right" vertical="center"/>
      <protection/>
    </xf>
    <xf numFmtId="0" fontId="3" fillId="0" borderId="48" xfId="21" applyFont="1" applyBorder="1" applyAlignment="1" applyProtection="1">
      <alignment horizontal="left" vertical="center"/>
      <protection/>
    </xf>
    <xf numFmtId="0" fontId="1" fillId="0" borderId="24" xfId="21" applyFont="1" applyBorder="1" applyAlignment="1" applyProtection="1">
      <alignment horizontal="left" vertical="center"/>
      <protection/>
    </xf>
    <xf numFmtId="0" fontId="3" fillId="0" borderId="5" xfId="21" applyFont="1" applyBorder="1" applyAlignment="1" applyProtection="1">
      <alignment horizontal="left"/>
      <protection/>
    </xf>
    <xf numFmtId="0" fontId="3" fillId="0" borderId="49" xfId="21" applyFont="1" applyBorder="1" applyAlignment="1" applyProtection="1">
      <alignment horizontal="left" vertical="center"/>
      <protection/>
    </xf>
    <xf numFmtId="0" fontId="3" fillId="0" borderId="40" xfId="21" applyFont="1" applyBorder="1" applyAlignment="1" applyProtection="1">
      <alignment horizontal="left"/>
      <protection/>
    </xf>
    <xf numFmtId="0" fontId="3" fillId="0" borderId="32" xfId="21" applyFont="1" applyBorder="1" applyAlignment="1" applyProtection="1">
      <alignment horizontal="left" vertical="center"/>
      <protection/>
    </xf>
    <xf numFmtId="14" fontId="6" fillId="0" borderId="34" xfId="21" applyNumberFormat="1" applyFont="1" applyBorder="1" applyAlignment="1" applyProtection="1">
      <alignment horizontal="left" vertical="center"/>
      <protection locked="0"/>
    </xf>
    <xf numFmtId="164" fontId="7" fillId="0" borderId="50" xfId="0" applyNumberFormat="1" applyFont="1" applyBorder="1" applyAlignment="1" applyProtection="1">
      <alignment horizontal="right" vertical="center"/>
      <protection/>
    </xf>
    <xf numFmtId="2" fontId="7" fillId="0" borderId="50" xfId="0" applyNumberFormat="1" applyFont="1" applyBorder="1" applyAlignment="1" applyProtection="1">
      <alignment horizontal="right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8" fillId="0" borderId="50" xfId="0" applyFont="1" applyBorder="1" applyAlignment="1" applyProtection="1">
      <alignment horizontal="left" vertical="center"/>
      <protection/>
    </xf>
    <xf numFmtId="164" fontId="8" fillId="0" borderId="50" xfId="0" applyNumberFormat="1" applyFont="1" applyBorder="1" applyAlignment="1" applyProtection="1">
      <alignment horizontal="right" vertical="center"/>
      <protection/>
    </xf>
    <xf numFmtId="2" fontId="8" fillId="0" borderId="50" xfId="0" applyNumberFormat="1" applyFont="1" applyBorder="1" applyAlignment="1" applyProtection="1">
      <alignment horizontal="right" vertical="center"/>
      <protection/>
    </xf>
    <xf numFmtId="0" fontId="36" fillId="0" borderId="50" xfId="0" applyFont="1" applyBorder="1" applyAlignment="1" applyProtection="1">
      <alignment horizontal="left" vertical="center"/>
      <protection/>
    </xf>
    <xf numFmtId="164" fontId="36" fillId="0" borderId="50" xfId="0" applyNumberFormat="1" applyFont="1" applyBorder="1" applyAlignment="1" applyProtection="1">
      <alignment horizontal="right" vertical="center"/>
      <protection/>
    </xf>
    <xf numFmtId="2" fontId="36" fillId="0" borderId="50" xfId="0" applyNumberFormat="1" applyFont="1" applyBorder="1" applyAlignment="1" applyProtection="1">
      <alignment horizontal="right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1" fillId="0" borderId="2" xfId="22" applyFont="1" applyBorder="1" applyAlignment="1" applyProtection="1">
      <alignment horizontal="left"/>
      <protection/>
    </xf>
    <xf numFmtId="0" fontId="1" fillId="0" borderId="3" xfId="22" applyFont="1" applyBorder="1" applyAlignment="1" applyProtection="1">
      <alignment horizontal="left"/>
      <protection/>
    </xf>
    <xf numFmtId="0" fontId="1" fillId="0" borderId="4" xfId="22" applyFont="1" applyBorder="1" applyAlignment="1" applyProtection="1">
      <alignment horizontal="left"/>
      <protection/>
    </xf>
    <xf numFmtId="0" fontId="1" fillId="0" borderId="0" xfId="22" applyAlignment="1" applyProtection="1">
      <alignment horizontal="left" vertical="top"/>
      <protection/>
    </xf>
    <xf numFmtId="0" fontId="9" fillId="0" borderId="3" xfId="22" applyFont="1" applyBorder="1" applyAlignment="1" applyProtection="1">
      <alignment horizontal="left"/>
      <protection/>
    </xf>
    <xf numFmtId="0" fontId="1" fillId="0" borderId="5" xfId="22" applyFont="1" applyBorder="1" applyAlignment="1" applyProtection="1">
      <alignment horizontal="left"/>
      <protection/>
    </xf>
    <xf numFmtId="0" fontId="1" fillId="0" borderId="6" xfId="22" applyFont="1" applyBorder="1" applyAlignment="1" applyProtection="1">
      <alignment horizontal="left"/>
      <protection/>
    </xf>
    <xf numFmtId="0" fontId="1" fillId="0" borderId="7" xfId="22" applyFont="1" applyBorder="1" applyAlignment="1" applyProtection="1">
      <alignment horizontal="left"/>
      <protection/>
    </xf>
    <xf numFmtId="0" fontId="3" fillId="0" borderId="2" xfId="22" applyFont="1" applyBorder="1" applyAlignment="1" applyProtection="1">
      <alignment horizontal="left" vertical="center"/>
      <protection/>
    </xf>
    <xf numFmtId="0" fontId="3" fillId="0" borderId="3" xfId="22" applyFont="1" applyBorder="1" applyAlignment="1" applyProtection="1">
      <alignment horizontal="left" vertical="center"/>
      <protection/>
    </xf>
    <xf numFmtId="0" fontId="3" fillId="0" borderId="4" xfId="22" applyFont="1" applyBorder="1" applyAlignment="1" applyProtection="1">
      <alignment horizontal="left" vertical="center"/>
      <protection/>
    </xf>
    <xf numFmtId="0" fontId="3" fillId="0" borderId="8" xfId="22" applyFont="1" applyBorder="1" applyAlignment="1" applyProtection="1">
      <alignment horizontal="left" vertical="center"/>
      <protection/>
    </xf>
    <xf numFmtId="0" fontId="3" fillId="0" borderId="0" xfId="22" applyFont="1" applyAlignment="1" applyProtection="1">
      <alignment horizontal="left" vertical="center"/>
      <protection/>
    </xf>
    <xf numFmtId="0" fontId="6" fillId="0" borderId="9" xfId="22" applyFont="1" applyBorder="1" applyAlignment="1" applyProtection="1">
      <alignment horizontal="left" vertical="center"/>
      <protection/>
    </xf>
    <xf numFmtId="165" fontId="6" fillId="0" borderId="10" xfId="22" applyNumberFormat="1" applyFont="1" applyBorder="1" applyAlignment="1" applyProtection="1">
      <alignment horizontal="right" vertical="center"/>
      <protection/>
    </xf>
    <xf numFmtId="0" fontId="3" fillId="0" borderId="11" xfId="22" applyFont="1" applyBorder="1" applyAlignment="1" applyProtection="1">
      <alignment horizontal="left" vertical="center"/>
      <protection/>
    </xf>
    <xf numFmtId="0" fontId="3" fillId="0" borderId="12" xfId="22" applyFont="1" applyBorder="1" applyAlignment="1" applyProtection="1">
      <alignment horizontal="left" vertical="center"/>
      <protection/>
    </xf>
    <xf numFmtId="0" fontId="3" fillId="0" borderId="13" xfId="22" applyFont="1" applyBorder="1" applyAlignment="1" applyProtection="1">
      <alignment horizontal="left" vertical="center"/>
      <protection/>
    </xf>
    <xf numFmtId="165" fontId="6" fillId="0" borderId="14" xfId="22" applyNumberFormat="1" applyFont="1" applyBorder="1" applyAlignment="1" applyProtection="1">
      <alignment horizontal="right" vertical="center"/>
      <protection/>
    </xf>
    <xf numFmtId="165" fontId="6" fillId="0" borderId="0" xfId="22" applyNumberFormat="1" applyFont="1" applyAlignment="1" applyProtection="1">
      <alignment horizontal="right" vertical="center"/>
      <protection/>
    </xf>
    <xf numFmtId="0" fontId="6" fillId="0" borderId="14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horizontal="left" vertical="top" wrapText="1"/>
      <protection/>
    </xf>
    <xf numFmtId="0" fontId="6" fillId="0" borderId="0" xfId="22" applyFont="1" applyAlignment="1" applyProtection="1">
      <alignment horizontal="left" vertical="top"/>
      <protection/>
    </xf>
    <xf numFmtId="0" fontId="3" fillId="0" borderId="10" xfId="22" applyFont="1" applyBorder="1" applyAlignment="1" applyProtection="1">
      <alignment horizontal="left" vertical="center"/>
      <protection/>
    </xf>
    <xf numFmtId="0" fontId="6" fillId="0" borderId="15" xfId="22" applyFont="1" applyBorder="1" applyAlignment="1" applyProtection="1">
      <alignment horizontal="left" vertical="center"/>
      <protection/>
    </xf>
    <xf numFmtId="0" fontId="3" fillId="0" borderId="16" xfId="22" applyFont="1" applyBorder="1" applyAlignment="1" applyProtection="1">
      <alignment horizontal="left" vertical="center"/>
      <protection/>
    </xf>
    <xf numFmtId="0" fontId="3" fillId="0" borderId="17" xfId="22" applyFont="1" applyBorder="1" applyAlignment="1" applyProtection="1">
      <alignment horizontal="left" vertical="center"/>
      <protection/>
    </xf>
    <xf numFmtId="0" fontId="3" fillId="0" borderId="18" xfId="22" applyFont="1" applyBorder="1" applyAlignment="1" applyProtection="1">
      <alignment horizontal="left" vertical="center"/>
      <protection/>
    </xf>
    <xf numFmtId="0" fontId="3" fillId="0" borderId="19" xfId="22" applyFont="1" applyBorder="1" applyAlignment="1" applyProtection="1">
      <alignment horizontal="left" vertical="center"/>
      <protection/>
    </xf>
    <xf numFmtId="0" fontId="3" fillId="0" borderId="5" xfId="22" applyFont="1" applyBorder="1" applyAlignment="1" applyProtection="1">
      <alignment horizontal="left" vertical="center"/>
      <protection/>
    </xf>
    <xf numFmtId="0" fontId="3" fillId="0" borderId="6" xfId="22" applyFont="1" applyBorder="1" applyAlignment="1" applyProtection="1">
      <alignment horizontal="left" vertical="center"/>
      <protection/>
    </xf>
    <xf numFmtId="0" fontId="3" fillId="0" borderId="7" xfId="22" applyFont="1" applyBorder="1" applyAlignment="1" applyProtection="1">
      <alignment horizontal="left" vertical="center"/>
      <protection/>
    </xf>
    <xf numFmtId="0" fontId="3" fillId="0" borderId="20" xfId="22" applyFont="1" applyBorder="1" applyAlignment="1" applyProtection="1">
      <alignment horizontal="left" vertical="center"/>
      <protection/>
    </xf>
    <xf numFmtId="0" fontId="3" fillId="0" borderId="21" xfId="22" applyFont="1" applyBorder="1" applyAlignment="1" applyProtection="1">
      <alignment horizontal="left" vertical="center"/>
      <protection/>
    </xf>
    <xf numFmtId="0" fontId="12" fillId="0" borderId="21" xfId="22" applyFont="1" applyBorder="1" applyAlignment="1" applyProtection="1">
      <alignment horizontal="left" vertical="center"/>
      <protection/>
    </xf>
    <xf numFmtId="0" fontId="3" fillId="0" borderId="22" xfId="22" applyFont="1" applyBorder="1" applyAlignment="1" applyProtection="1">
      <alignment horizontal="left" vertical="center"/>
      <protection/>
    </xf>
    <xf numFmtId="0" fontId="3" fillId="0" borderId="23" xfId="22" applyFont="1" applyBorder="1" applyAlignment="1" applyProtection="1">
      <alignment horizontal="left" vertical="center"/>
      <protection/>
    </xf>
    <xf numFmtId="0" fontId="3" fillId="0" borderId="24" xfId="22" applyFont="1" applyBorder="1" applyAlignment="1" applyProtection="1">
      <alignment horizontal="left" vertical="center"/>
      <protection/>
    </xf>
    <xf numFmtId="0" fontId="3" fillId="0" borderId="25" xfId="22" applyFont="1" applyBorder="1" applyAlignment="1" applyProtection="1">
      <alignment horizontal="left" vertical="center"/>
      <protection/>
    </xf>
    <xf numFmtId="0" fontId="3" fillId="0" borderId="26" xfId="22" applyFont="1" applyBorder="1" applyAlignment="1" applyProtection="1">
      <alignment horizontal="left" vertical="center"/>
      <protection/>
    </xf>
    <xf numFmtId="0" fontId="3" fillId="0" borderId="27" xfId="22" applyFont="1" applyBorder="1" applyAlignment="1" applyProtection="1">
      <alignment horizontal="left" vertical="center"/>
      <protection/>
    </xf>
    <xf numFmtId="166" fontId="1" fillId="0" borderId="28" xfId="22" applyNumberFormat="1" applyFont="1" applyBorder="1" applyAlignment="1" applyProtection="1">
      <alignment horizontal="right" vertical="center"/>
      <protection/>
    </xf>
    <xf numFmtId="166" fontId="1" fillId="0" borderId="29" xfId="22" applyNumberFormat="1" applyFont="1" applyBorder="1" applyAlignment="1" applyProtection="1">
      <alignment horizontal="right" vertical="center"/>
      <protection/>
    </xf>
    <xf numFmtId="166" fontId="13" fillId="0" borderId="30" xfId="22" applyNumberFormat="1" applyFont="1" applyBorder="1" applyAlignment="1" applyProtection="1">
      <alignment horizontal="right" vertical="center"/>
      <protection/>
    </xf>
    <xf numFmtId="164" fontId="13" fillId="0" borderId="31" xfId="22" applyNumberFormat="1" applyFont="1" applyBorder="1" applyAlignment="1" applyProtection="1">
      <alignment horizontal="right" vertical="center"/>
      <protection/>
    </xf>
    <xf numFmtId="166" fontId="1" fillId="0" borderId="30" xfId="22" applyNumberFormat="1" applyFont="1" applyBorder="1" applyAlignment="1" applyProtection="1">
      <alignment horizontal="right" vertical="center"/>
      <protection/>
    </xf>
    <xf numFmtId="166" fontId="1" fillId="0" borderId="31" xfId="22" applyNumberFormat="1" applyFont="1" applyBorder="1" applyAlignment="1" applyProtection="1">
      <alignment horizontal="right" vertical="center"/>
      <protection/>
    </xf>
    <xf numFmtId="166" fontId="13" fillId="0" borderId="29" xfId="22" applyNumberFormat="1" applyFont="1" applyBorder="1" applyAlignment="1" applyProtection="1">
      <alignment horizontal="right" vertical="center"/>
      <protection/>
    </xf>
    <xf numFmtId="164" fontId="13" fillId="0" borderId="29" xfId="22" applyNumberFormat="1" applyFont="1" applyBorder="1" applyAlignment="1" applyProtection="1">
      <alignment horizontal="right" vertical="center"/>
      <protection/>
    </xf>
    <xf numFmtId="166" fontId="1" fillId="0" borderId="32" xfId="22" applyNumberFormat="1" applyFont="1" applyBorder="1" applyAlignment="1" applyProtection="1">
      <alignment horizontal="right" vertical="center"/>
      <protection/>
    </xf>
    <xf numFmtId="0" fontId="12" fillId="0" borderId="21" xfId="22" applyFont="1" applyBorder="1" applyAlignment="1" applyProtection="1">
      <alignment horizontal="left" vertical="center" wrapText="1"/>
      <protection/>
    </xf>
    <xf numFmtId="0" fontId="14" fillId="0" borderId="23" xfId="22" applyFont="1" applyBorder="1" applyAlignment="1" applyProtection="1">
      <alignment horizontal="left" vertical="center"/>
      <protection/>
    </xf>
    <xf numFmtId="0" fontId="14" fillId="0" borderId="25" xfId="22" applyFont="1" applyBorder="1" applyAlignment="1" applyProtection="1">
      <alignment horizontal="left" vertical="center"/>
      <protection/>
    </xf>
    <xf numFmtId="0" fontId="12" fillId="0" borderId="26" xfId="22" applyFont="1" applyBorder="1" applyAlignment="1" applyProtection="1">
      <alignment horizontal="left" vertical="center"/>
      <protection/>
    </xf>
    <xf numFmtId="0" fontId="12" fillId="0" borderId="24" xfId="22" applyFont="1" applyBorder="1" applyAlignment="1" applyProtection="1">
      <alignment horizontal="left" vertical="center"/>
      <protection/>
    </xf>
    <xf numFmtId="0" fontId="12" fillId="0" borderId="27" xfId="22" applyFont="1" applyBorder="1" applyAlignment="1" applyProtection="1">
      <alignment horizontal="left" vertical="center"/>
      <protection/>
    </xf>
    <xf numFmtId="0" fontId="12" fillId="0" borderId="25" xfId="22" applyFont="1" applyBorder="1" applyAlignment="1" applyProtection="1">
      <alignment horizontal="left" vertical="center"/>
      <protection/>
    </xf>
    <xf numFmtId="165" fontId="3" fillId="0" borderId="33" xfId="22" applyNumberFormat="1" applyFont="1" applyBorder="1" applyAlignment="1" applyProtection="1">
      <alignment horizontal="center" vertical="center"/>
      <protection/>
    </xf>
    <xf numFmtId="0" fontId="4" fillId="0" borderId="9" xfId="22" applyFont="1" applyBorder="1" applyAlignment="1" applyProtection="1">
      <alignment horizontal="left" vertical="center"/>
      <protection/>
    </xf>
    <xf numFmtId="0" fontId="3" fillId="0" borderId="34" xfId="22" applyFont="1" applyBorder="1" applyAlignment="1" applyProtection="1">
      <alignment horizontal="left" vertical="center"/>
      <protection/>
    </xf>
    <xf numFmtId="164" fontId="13" fillId="0" borderId="15" xfId="22" applyNumberFormat="1" applyFont="1" applyBorder="1" applyAlignment="1" applyProtection="1">
      <alignment horizontal="right" vertical="center"/>
      <protection/>
    </xf>
    <xf numFmtId="0" fontId="3" fillId="0" borderId="35" xfId="22" applyFont="1" applyBorder="1" applyAlignment="1" applyProtection="1">
      <alignment horizontal="left" vertical="center"/>
      <protection/>
    </xf>
    <xf numFmtId="0" fontId="3" fillId="0" borderId="15" xfId="22" applyFont="1" applyBorder="1" applyAlignment="1" applyProtection="1">
      <alignment horizontal="left" vertical="center"/>
      <protection/>
    </xf>
    <xf numFmtId="164" fontId="1" fillId="0" borderId="15" xfId="22" applyNumberFormat="1" applyFont="1" applyBorder="1" applyAlignment="1" applyProtection="1">
      <alignment horizontal="right" vertical="center"/>
      <protection/>
    </xf>
    <xf numFmtId="166" fontId="1" fillId="0" borderId="19" xfId="22" applyNumberFormat="1" applyFont="1" applyBorder="1" applyAlignment="1" applyProtection="1">
      <alignment horizontal="right" vertical="center"/>
      <protection/>
    </xf>
    <xf numFmtId="0" fontId="15" fillId="0" borderId="19" xfId="22" applyFont="1" applyBorder="1" applyAlignment="1" applyProtection="1">
      <alignment horizontal="right" vertical="center"/>
      <protection/>
    </xf>
    <xf numFmtId="0" fontId="15" fillId="0" borderId="16" xfId="22" applyFont="1" applyBorder="1" applyAlignment="1" applyProtection="1">
      <alignment horizontal="left" vertical="center"/>
      <protection/>
    </xf>
    <xf numFmtId="0" fontId="3" fillId="0" borderId="36" xfId="22" applyFont="1" applyBorder="1" applyAlignment="1" applyProtection="1">
      <alignment horizontal="left" vertical="center"/>
      <protection/>
    </xf>
    <xf numFmtId="165" fontId="3" fillId="0" borderId="37" xfId="22" applyNumberFormat="1" applyFont="1" applyBorder="1" applyAlignment="1" applyProtection="1">
      <alignment horizontal="center" vertical="center"/>
      <protection/>
    </xf>
    <xf numFmtId="166" fontId="1" fillId="0" borderId="15" xfId="22" applyNumberFormat="1" applyFont="1" applyBorder="1" applyAlignment="1" applyProtection="1">
      <alignment horizontal="right" vertical="center"/>
      <protection/>
    </xf>
    <xf numFmtId="0" fontId="4" fillId="0" borderId="15" xfId="22" applyFont="1" applyBorder="1" applyAlignment="1" applyProtection="1">
      <alignment horizontal="left" vertical="center"/>
      <protection/>
    </xf>
    <xf numFmtId="164" fontId="13" fillId="0" borderId="20" xfId="22" applyNumberFormat="1" applyFont="1" applyBorder="1" applyAlignment="1" applyProtection="1">
      <alignment horizontal="right" vertical="center"/>
      <protection/>
    </xf>
    <xf numFmtId="164" fontId="1" fillId="0" borderId="20" xfId="22" applyNumberFormat="1" applyFont="1" applyBorder="1" applyAlignment="1" applyProtection="1">
      <alignment horizontal="right" vertical="center"/>
      <protection/>
    </xf>
    <xf numFmtId="166" fontId="1" fillId="0" borderId="22" xfId="22" applyNumberFormat="1" applyFont="1" applyBorder="1" applyAlignment="1" applyProtection="1">
      <alignment horizontal="right" vertical="center"/>
      <protection/>
    </xf>
    <xf numFmtId="0" fontId="3" fillId="0" borderId="38" xfId="22" applyFont="1" applyBorder="1" applyAlignment="1" applyProtection="1">
      <alignment horizontal="left" vertical="center"/>
      <protection/>
    </xf>
    <xf numFmtId="165" fontId="3" fillId="0" borderId="39" xfId="22" applyNumberFormat="1" applyFont="1" applyBorder="1" applyAlignment="1" applyProtection="1">
      <alignment horizontal="center" vertical="center"/>
      <protection/>
    </xf>
    <xf numFmtId="0" fontId="3" fillId="0" borderId="31" xfId="22" applyFont="1" applyBorder="1" applyAlignment="1" applyProtection="1">
      <alignment horizontal="left" vertical="center"/>
      <protection/>
    </xf>
    <xf numFmtId="0" fontId="3" fillId="0" borderId="29" xfId="22" applyFont="1" applyBorder="1" applyAlignment="1" applyProtection="1">
      <alignment horizontal="left" vertical="center"/>
      <protection/>
    </xf>
    <xf numFmtId="0" fontId="3" fillId="0" borderId="30" xfId="22" applyFont="1" applyBorder="1" applyAlignment="1" applyProtection="1">
      <alignment horizontal="left" vertical="center"/>
      <protection/>
    </xf>
    <xf numFmtId="164" fontId="13" fillId="0" borderId="40" xfId="22" applyNumberFormat="1" applyFont="1" applyBorder="1" applyAlignment="1" applyProtection="1">
      <alignment horizontal="right" vertical="center"/>
      <protection/>
    </xf>
    <xf numFmtId="164" fontId="13" fillId="0" borderId="21" xfId="22" applyNumberFormat="1" applyFont="1" applyBorder="1" applyAlignment="1" applyProtection="1">
      <alignment horizontal="right" vertical="center"/>
      <protection/>
    </xf>
    <xf numFmtId="166" fontId="16" fillId="0" borderId="6" xfId="22" applyNumberFormat="1" applyFont="1" applyBorder="1" applyAlignment="1" applyProtection="1">
      <alignment horizontal="right" vertical="center"/>
      <protection/>
    </xf>
    <xf numFmtId="0" fontId="12" fillId="0" borderId="2" xfId="22" applyFont="1" applyBorder="1" applyAlignment="1" applyProtection="1">
      <alignment horizontal="left" vertical="top"/>
      <protection/>
    </xf>
    <xf numFmtId="0" fontId="3" fillId="0" borderId="41" xfId="22" applyFont="1" applyBorder="1" applyAlignment="1" applyProtection="1">
      <alignment horizontal="left" vertical="center"/>
      <protection/>
    </xf>
    <xf numFmtId="0" fontId="3" fillId="0" borderId="42" xfId="22" applyFont="1" applyBorder="1" applyAlignment="1" applyProtection="1">
      <alignment horizontal="left" vertical="center"/>
      <protection/>
    </xf>
    <xf numFmtId="0" fontId="3" fillId="0" borderId="14" xfId="22" applyFont="1" applyBorder="1" applyAlignment="1" applyProtection="1">
      <alignment horizontal="left" vertical="center"/>
      <protection/>
    </xf>
    <xf numFmtId="167" fontId="17" fillId="0" borderId="22" xfId="22" applyNumberFormat="1" applyFont="1" applyBorder="1" applyAlignment="1" applyProtection="1">
      <alignment horizontal="right" vertical="center"/>
      <protection/>
    </xf>
    <xf numFmtId="0" fontId="3" fillId="0" borderId="43" xfId="22" applyFont="1" applyBorder="1" applyAlignment="1" applyProtection="1">
      <alignment horizontal="left"/>
      <protection/>
    </xf>
    <xf numFmtId="0" fontId="3" fillId="0" borderId="36" xfId="22" applyFont="1" applyBorder="1" applyAlignment="1" applyProtection="1">
      <alignment horizontal="left"/>
      <protection/>
    </xf>
    <xf numFmtId="166" fontId="6" fillId="0" borderId="36" xfId="22" applyNumberFormat="1" applyFont="1" applyBorder="1" applyAlignment="1" applyProtection="1">
      <alignment horizontal="right" vertical="center"/>
      <protection/>
    </xf>
    <xf numFmtId="164" fontId="6" fillId="0" borderId="15" xfId="22" applyNumberFormat="1" applyFont="1" applyBorder="1" applyAlignment="1" applyProtection="1">
      <alignment horizontal="right" vertical="center"/>
      <protection/>
    </xf>
    <xf numFmtId="164" fontId="13" fillId="0" borderId="36" xfId="22" applyNumberFormat="1" applyFont="1" applyBorder="1" applyAlignment="1" applyProtection="1">
      <alignment horizontal="right" vertical="center"/>
      <protection/>
    </xf>
    <xf numFmtId="167" fontId="17" fillId="0" borderId="44" xfId="22" applyNumberFormat="1" applyFont="1" applyBorder="1" applyAlignment="1" applyProtection="1">
      <alignment horizontal="right" vertical="center"/>
      <protection/>
    </xf>
    <xf numFmtId="0" fontId="12" fillId="0" borderId="45" xfId="22" applyFont="1" applyBorder="1" applyAlignment="1" applyProtection="1">
      <alignment horizontal="left" vertical="top"/>
      <protection/>
    </xf>
    <xf numFmtId="0" fontId="3" fillId="0" borderId="9" xfId="22" applyFont="1" applyBorder="1" applyAlignment="1" applyProtection="1">
      <alignment horizontal="left" vertical="center"/>
      <protection/>
    </xf>
    <xf numFmtId="166" fontId="6" fillId="0" borderId="15" xfId="22" applyNumberFormat="1" applyFont="1" applyBorder="1" applyAlignment="1" applyProtection="1">
      <alignment horizontal="right" vertical="center"/>
      <protection/>
    </xf>
    <xf numFmtId="167" fontId="17" fillId="0" borderId="35" xfId="22" applyNumberFormat="1" applyFont="1" applyBorder="1" applyAlignment="1" applyProtection="1">
      <alignment horizontal="right" vertical="center"/>
      <protection/>
    </xf>
    <xf numFmtId="0" fontId="12" fillId="0" borderId="31" xfId="22" applyFont="1" applyBorder="1" applyAlignment="1" applyProtection="1">
      <alignment horizontal="left" vertical="center"/>
      <protection/>
    </xf>
    <xf numFmtId="0" fontId="3" fillId="0" borderId="46" xfId="22" applyFont="1" applyBorder="1" applyAlignment="1" applyProtection="1">
      <alignment horizontal="left" vertical="center"/>
      <protection/>
    </xf>
    <xf numFmtId="164" fontId="18" fillId="0" borderId="47" xfId="22" applyNumberFormat="1" applyFont="1" applyBorder="1" applyAlignment="1" applyProtection="1">
      <alignment horizontal="right" vertical="center"/>
      <protection/>
    </xf>
    <xf numFmtId="0" fontId="3" fillId="0" borderId="48" xfId="22" applyFont="1" applyBorder="1" applyAlignment="1" applyProtection="1">
      <alignment horizontal="left" vertical="center"/>
      <protection/>
    </xf>
    <xf numFmtId="0" fontId="1" fillId="0" borderId="24" xfId="22" applyFont="1" applyBorder="1" applyAlignment="1" applyProtection="1">
      <alignment horizontal="left" vertical="center"/>
      <protection/>
    </xf>
    <xf numFmtId="0" fontId="3" fillId="0" borderId="5" xfId="22" applyFont="1" applyBorder="1" applyAlignment="1" applyProtection="1">
      <alignment horizontal="left"/>
      <protection/>
    </xf>
    <xf numFmtId="0" fontId="3" fillId="0" borderId="49" xfId="22" applyFont="1" applyBorder="1" applyAlignment="1" applyProtection="1">
      <alignment horizontal="left" vertical="center"/>
      <protection/>
    </xf>
    <xf numFmtId="0" fontId="3" fillId="0" borderId="40" xfId="22" applyFont="1" applyBorder="1" applyAlignment="1" applyProtection="1">
      <alignment horizontal="left"/>
      <protection/>
    </xf>
    <xf numFmtId="0" fontId="3" fillId="0" borderId="32" xfId="22" applyFont="1" applyBorder="1" applyAlignment="1" applyProtection="1">
      <alignment horizontal="left" vertical="center"/>
      <protection/>
    </xf>
    <xf numFmtId="0" fontId="19" fillId="2" borderId="0" xfId="22" applyFont="1" applyFill="1" applyAlignment="1" applyProtection="1">
      <alignment horizontal="left"/>
      <protection/>
    </xf>
    <xf numFmtId="0" fontId="6" fillId="2" borderId="0" xfId="22" applyFont="1" applyFill="1" applyAlignment="1" applyProtection="1">
      <alignment horizontal="left"/>
      <protection/>
    </xf>
    <xf numFmtId="0" fontId="3" fillId="2" borderId="0" xfId="22" applyFont="1" applyFill="1" applyAlignment="1" applyProtection="1">
      <alignment horizontal="left"/>
      <protection/>
    </xf>
    <xf numFmtId="0" fontId="5" fillId="2" borderId="0" xfId="22" applyFont="1" applyFill="1" applyAlignment="1" applyProtection="1">
      <alignment horizontal="left" vertical="center"/>
      <protection/>
    </xf>
    <xf numFmtId="0" fontId="6" fillId="2" borderId="0" xfId="22" applyFont="1" applyFill="1" applyAlignment="1" applyProtection="1">
      <alignment horizontal="left" vertical="center"/>
      <protection/>
    </xf>
    <xf numFmtId="0" fontId="6" fillId="3" borderId="51" xfId="22" applyFont="1" applyFill="1" applyBorder="1" applyAlignment="1" applyProtection="1">
      <alignment horizontal="center" vertical="center" wrapText="1"/>
      <protection/>
    </xf>
    <xf numFmtId="0" fontId="6" fillId="3" borderId="52" xfId="22" applyFont="1" applyFill="1" applyBorder="1" applyAlignment="1" applyProtection="1">
      <alignment horizontal="center" vertical="center" wrapText="1"/>
      <protection/>
    </xf>
    <xf numFmtId="0" fontId="3" fillId="3" borderId="25" xfId="22" applyFont="1" applyFill="1" applyBorder="1" applyAlignment="1" applyProtection="1">
      <alignment horizontal="center" vertical="center" wrapText="1"/>
      <protection/>
    </xf>
    <xf numFmtId="0" fontId="3" fillId="3" borderId="26" xfId="22" applyFont="1" applyFill="1" applyBorder="1" applyAlignment="1" applyProtection="1">
      <alignment horizontal="center" vertical="center" wrapText="1"/>
      <protection/>
    </xf>
    <xf numFmtId="0" fontId="6" fillId="3" borderId="26" xfId="22" applyFont="1" applyFill="1" applyBorder="1" applyAlignment="1" applyProtection="1">
      <alignment horizontal="center" vertical="center" wrapText="1"/>
      <protection/>
    </xf>
    <xf numFmtId="0" fontId="3" fillId="0" borderId="8" xfId="22" applyFont="1" applyBorder="1" applyAlignment="1" applyProtection="1">
      <alignment horizontal="left"/>
      <protection/>
    </xf>
    <xf numFmtId="165" fontId="6" fillId="3" borderId="39" xfId="22" applyNumberFormat="1" applyFont="1" applyFill="1" applyBorder="1" applyAlignment="1" applyProtection="1">
      <alignment horizontal="center" vertical="center"/>
      <protection/>
    </xf>
    <xf numFmtId="165" fontId="6" fillId="3" borderId="53" xfId="22" applyNumberFormat="1" applyFont="1" applyFill="1" applyBorder="1" applyAlignment="1" applyProtection="1">
      <alignment horizontal="center" vertical="center"/>
      <protection/>
    </xf>
    <xf numFmtId="165" fontId="3" fillId="3" borderId="30" xfId="22" applyNumberFormat="1" applyFont="1" applyFill="1" applyBorder="1" applyAlignment="1" applyProtection="1">
      <alignment horizontal="center" vertical="center"/>
      <protection/>
    </xf>
    <xf numFmtId="165" fontId="3" fillId="3" borderId="31" xfId="22" applyNumberFormat="1" applyFont="1" applyFill="1" applyBorder="1" applyAlignment="1" applyProtection="1">
      <alignment horizontal="center" vertical="center"/>
      <protection/>
    </xf>
    <xf numFmtId="165" fontId="6" fillId="3" borderId="31" xfId="22" applyNumberFormat="1" applyFont="1" applyFill="1" applyBorder="1" applyAlignment="1" applyProtection="1">
      <alignment horizontal="center" vertical="center"/>
      <protection/>
    </xf>
    <xf numFmtId="0" fontId="3" fillId="2" borderId="12" xfId="22" applyFont="1" applyFill="1" applyBorder="1" applyAlignment="1" applyProtection="1">
      <alignment horizontal="left"/>
      <protection/>
    </xf>
    <xf numFmtId="0" fontId="20" fillId="0" borderId="3" xfId="22" applyFont="1" applyBorder="1" applyAlignment="1" applyProtection="1">
      <alignment horizontal="left" vertical="center"/>
      <protection/>
    </xf>
    <xf numFmtId="0" fontId="20" fillId="0" borderId="3" xfId="22" applyFont="1" applyBorder="1" applyAlignment="1" applyProtection="1">
      <alignment horizontal="center" vertical="center"/>
      <protection/>
    </xf>
    <xf numFmtId="164" fontId="20" fillId="0" borderId="3" xfId="22" applyNumberFormat="1" applyFont="1" applyBorder="1" applyAlignment="1" applyProtection="1">
      <alignment horizontal="right" vertical="center"/>
      <protection/>
    </xf>
    <xf numFmtId="168" fontId="20" fillId="0" borderId="3" xfId="22" applyNumberFormat="1" applyFont="1" applyBorder="1" applyAlignment="1" applyProtection="1">
      <alignment horizontal="right" vertical="center"/>
      <protection/>
    </xf>
    <xf numFmtId="0" fontId="4" fillId="0" borderId="0" xfId="22" applyFont="1" applyAlignment="1" applyProtection="1">
      <alignment horizontal="left" vertical="center"/>
      <protection/>
    </xf>
    <xf numFmtId="0" fontId="20" fillId="0" borderId="0" xfId="22" applyFont="1" applyAlignment="1" applyProtection="1">
      <alignment horizontal="left" vertical="center"/>
      <protection/>
    </xf>
    <xf numFmtId="0" fontId="21" fillId="0" borderId="0" xfId="22" applyFont="1" applyAlignment="1" applyProtection="1">
      <alignment horizontal="center" vertical="center"/>
      <protection/>
    </xf>
    <xf numFmtId="0" fontId="21" fillId="0" borderId="0" xfId="22" applyFont="1" applyAlignment="1" applyProtection="1">
      <alignment horizontal="left" vertical="center"/>
      <protection/>
    </xf>
    <xf numFmtId="164" fontId="21" fillId="0" borderId="0" xfId="22" applyNumberFormat="1" applyFont="1" applyAlignment="1" applyProtection="1">
      <alignment horizontal="right" vertical="center"/>
      <protection/>
    </xf>
    <xf numFmtId="168" fontId="21" fillId="0" borderId="0" xfId="22" applyNumberFormat="1" applyFont="1" applyAlignment="1" applyProtection="1">
      <alignment horizontal="right" vertical="center"/>
      <protection/>
    </xf>
    <xf numFmtId="0" fontId="3" fillId="0" borderId="0" xfId="22" applyFont="1" applyAlignment="1" applyProtection="1">
      <alignment horizontal="center" vertical="center"/>
      <protection/>
    </xf>
    <xf numFmtId="49" fontId="3" fillId="0" borderId="0" xfId="22" applyNumberFormat="1" applyFont="1" applyAlignment="1" applyProtection="1">
      <alignment horizontal="left" vertical="top"/>
      <protection/>
    </xf>
    <xf numFmtId="0" fontId="3" fillId="0" borderId="0" xfId="22" applyFont="1" applyAlignment="1" applyProtection="1">
      <alignment horizontal="left" vertical="center" wrapText="1"/>
      <protection/>
    </xf>
    <xf numFmtId="168" fontId="3" fillId="0" borderId="0" xfId="22" applyNumberFormat="1" applyFont="1" applyAlignment="1" applyProtection="1">
      <alignment horizontal="right" vertical="center"/>
      <protection/>
    </xf>
    <xf numFmtId="164" fontId="3" fillId="0" borderId="0" xfId="22" applyNumberFormat="1" applyFont="1" applyAlignment="1" applyProtection="1">
      <alignment horizontal="right" vertical="center"/>
      <protection/>
    </xf>
    <xf numFmtId="169" fontId="3" fillId="0" borderId="0" xfId="22" applyNumberFormat="1" applyFont="1" applyAlignment="1" applyProtection="1">
      <alignment horizontal="right" vertical="center"/>
      <protection/>
    </xf>
    <xf numFmtId="170" fontId="3" fillId="0" borderId="0" xfId="22" applyNumberFormat="1" applyFont="1" applyAlignment="1" applyProtection="1">
      <alignment horizontal="right" vertical="center"/>
      <protection/>
    </xf>
    <xf numFmtId="166" fontId="3" fillId="0" borderId="0" xfId="22" applyNumberFormat="1" applyFont="1" applyAlignment="1" applyProtection="1">
      <alignment horizontal="right" vertical="center"/>
      <protection/>
    </xf>
    <xf numFmtId="0" fontId="25" fillId="0" borderId="0" xfId="22" applyFont="1" applyAlignment="1" applyProtection="1">
      <alignment horizontal="left" vertical="center"/>
      <protection/>
    </xf>
    <xf numFmtId="0" fontId="25" fillId="0" borderId="0" xfId="22" applyFont="1" applyAlignment="1" applyProtection="1">
      <alignment horizontal="left" vertical="center" wrapText="1"/>
      <protection/>
    </xf>
    <xf numFmtId="166" fontId="25" fillId="0" borderId="0" xfId="22" applyNumberFormat="1" applyFont="1" applyAlignment="1" applyProtection="1">
      <alignment horizontal="right" vertical="top"/>
      <protection/>
    </xf>
    <xf numFmtId="0" fontId="26" fillId="0" borderId="0" xfId="22" applyFont="1" applyAlignment="1" applyProtection="1">
      <alignment horizontal="left" vertical="center"/>
      <protection/>
    </xf>
    <xf numFmtId="0" fontId="26" fillId="0" borderId="0" xfId="22" applyFont="1" applyAlignment="1" applyProtection="1">
      <alignment horizontal="left" vertical="center" wrapText="1"/>
      <protection/>
    </xf>
    <xf numFmtId="168" fontId="26" fillId="0" borderId="0" xfId="22" applyNumberFormat="1" applyFont="1" applyAlignment="1" applyProtection="1">
      <alignment horizontal="right" vertical="center"/>
      <protection/>
    </xf>
    <xf numFmtId="168" fontId="25" fillId="0" borderId="0" xfId="22" applyNumberFormat="1" applyFont="1" applyAlignment="1" applyProtection="1">
      <alignment horizontal="right" vertical="top"/>
      <protection/>
    </xf>
    <xf numFmtId="0" fontId="27" fillId="0" borderId="0" xfId="22" applyFont="1" applyAlignment="1" applyProtection="1">
      <alignment horizontal="left" vertical="center"/>
      <protection/>
    </xf>
    <xf numFmtId="0" fontId="27" fillId="0" borderId="0" xfId="22" applyFont="1" applyAlignment="1" applyProtection="1">
      <alignment horizontal="left" vertical="center" wrapText="1"/>
      <protection/>
    </xf>
    <xf numFmtId="168" fontId="27" fillId="0" borderId="0" xfId="22" applyNumberFormat="1" applyFont="1" applyAlignment="1" applyProtection="1">
      <alignment horizontal="right" vertical="center"/>
      <protection/>
    </xf>
    <xf numFmtId="0" fontId="22" fillId="0" borderId="0" xfId="22" applyFont="1" applyAlignment="1" applyProtection="1">
      <alignment horizontal="center" vertical="center"/>
      <protection/>
    </xf>
    <xf numFmtId="49" fontId="22" fillId="0" borderId="0" xfId="22" applyNumberFormat="1" applyFont="1" applyAlignment="1" applyProtection="1">
      <alignment horizontal="left" vertical="top"/>
      <protection/>
    </xf>
    <xf numFmtId="0" fontId="22" fillId="0" borderId="0" xfId="22" applyFont="1" applyAlignment="1" applyProtection="1">
      <alignment horizontal="left" vertical="center" wrapText="1"/>
      <protection/>
    </xf>
    <xf numFmtId="168" fontId="22" fillId="0" borderId="0" xfId="22" applyNumberFormat="1" applyFont="1" applyAlignment="1" applyProtection="1">
      <alignment horizontal="right" vertical="center"/>
      <protection/>
    </xf>
    <xf numFmtId="164" fontId="22" fillId="0" borderId="0" xfId="22" applyNumberFormat="1" applyFont="1" applyAlignment="1" applyProtection="1">
      <alignment horizontal="right" vertical="center"/>
      <protection/>
    </xf>
    <xf numFmtId="169" fontId="22" fillId="0" borderId="0" xfId="22" applyNumberFormat="1" applyFont="1" applyAlignment="1" applyProtection="1">
      <alignment horizontal="right" vertical="center"/>
      <protection/>
    </xf>
    <xf numFmtId="170" fontId="22" fillId="0" borderId="0" xfId="22" applyNumberFormat="1" applyFont="1" applyAlignment="1" applyProtection="1">
      <alignment horizontal="right" vertical="center"/>
      <protection/>
    </xf>
    <xf numFmtId="166" fontId="22" fillId="0" borderId="0" xfId="22" applyNumberFormat="1" applyFont="1" applyAlignment="1" applyProtection="1">
      <alignment horizontal="right" vertical="center"/>
      <protection/>
    </xf>
    <xf numFmtId="0" fontId="22" fillId="0" borderId="0" xfId="22" applyFont="1" applyAlignment="1" applyProtection="1">
      <alignment horizontal="left" vertical="center"/>
      <protection/>
    </xf>
    <xf numFmtId="0" fontId="20" fillId="0" borderId="0" xfId="22" applyFont="1" applyAlignment="1" applyProtection="1">
      <alignment horizontal="center" vertical="center"/>
      <protection/>
    </xf>
    <xf numFmtId="164" fontId="20" fillId="0" borderId="0" xfId="22" applyNumberFormat="1" applyFont="1" applyAlignment="1" applyProtection="1">
      <alignment horizontal="right" vertical="center"/>
      <protection/>
    </xf>
    <xf numFmtId="168" fontId="20" fillId="0" borderId="0" xfId="22" applyNumberFormat="1" applyFont="1" applyAlignment="1" applyProtection="1">
      <alignment horizontal="right" vertical="center"/>
      <protection/>
    </xf>
    <xf numFmtId="0" fontId="23" fillId="0" borderId="0" xfId="22" applyFont="1" applyAlignment="1" applyProtection="1">
      <alignment horizontal="left" vertical="center"/>
      <protection/>
    </xf>
    <xf numFmtId="0" fontId="24" fillId="0" borderId="0" xfId="22" applyFont="1" applyAlignment="1" applyProtection="1">
      <alignment horizontal="left" vertical="center"/>
      <protection/>
    </xf>
    <xf numFmtId="164" fontId="24" fillId="0" borderId="0" xfId="22" applyNumberFormat="1" applyFont="1" applyAlignment="1" applyProtection="1">
      <alignment horizontal="right" vertical="center"/>
      <protection/>
    </xf>
    <xf numFmtId="168" fontId="24" fillId="0" borderId="0" xfId="22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 locked="0"/>
    </xf>
    <xf numFmtId="168" fontId="3" fillId="0" borderId="0" xfId="22" applyNumberFormat="1" applyFont="1" applyFill="1" applyAlignment="1" applyProtection="1">
      <alignment horizontal="right" vertical="center"/>
      <protection/>
    </xf>
    <xf numFmtId="166" fontId="25" fillId="0" borderId="0" xfId="22" applyNumberFormat="1" applyFont="1" applyFill="1" applyAlignment="1" applyProtection="1">
      <alignment horizontal="right" vertical="top"/>
      <protection/>
    </xf>
    <xf numFmtId="168" fontId="26" fillId="0" borderId="0" xfId="22" applyNumberFormat="1" applyFont="1" applyFill="1" applyAlignment="1" applyProtection="1">
      <alignment horizontal="right" vertical="center"/>
      <protection/>
    </xf>
    <xf numFmtId="0" fontId="3" fillId="0" borderId="0" xfId="22" applyFont="1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26" fillId="0" borderId="0" xfId="22" applyFont="1" applyFill="1" applyAlignment="1" applyProtection="1">
      <alignment horizontal="left" vertical="center" wrapText="1"/>
      <protection/>
    </xf>
    <xf numFmtId="0" fontId="3" fillId="0" borderId="0" xfId="22" applyFont="1" applyFill="1" applyAlignment="1" applyProtection="1">
      <alignment horizontal="center" vertical="center"/>
      <protection/>
    </xf>
    <xf numFmtId="49" fontId="3" fillId="0" borderId="0" xfId="22" applyNumberFormat="1" applyFont="1" applyFill="1" applyAlignment="1" applyProtection="1">
      <alignment horizontal="left" vertical="top"/>
      <protection/>
    </xf>
    <xf numFmtId="164" fontId="3" fillId="0" borderId="0" xfId="22" applyNumberFormat="1" applyFont="1" applyFill="1" applyAlignment="1" applyProtection="1">
      <alignment horizontal="right" vertical="center"/>
      <protection/>
    </xf>
    <xf numFmtId="0" fontId="38" fillId="0" borderId="5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0" fontId="6" fillId="0" borderId="54" xfId="0" applyFont="1" applyBorder="1" applyAlignment="1" applyProtection="1">
      <alignment horizontal="center" vertical="center" wrapText="1"/>
      <protection/>
    </xf>
    <xf numFmtId="2" fontId="3" fillId="0" borderId="13" xfId="21" applyNumberFormat="1" applyFont="1" applyBorder="1" applyAlignment="1" applyProtection="1">
      <alignment horizontal="left" vertical="center"/>
      <protection/>
    </xf>
    <xf numFmtId="2" fontId="3" fillId="0" borderId="13" xfId="22" applyNumberFormat="1" applyFont="1" applyBorder="1" applyAlignment="1" applyProtection="1">
      <alignment horizontal="left" vertical="center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top"/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56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0" borderId="0" xfId="21" applyFont="1" applyAlignment="1" applyProtection="1">
      <alignment horizontal="left" vertical="center"/>
      <protection/>
    </xf>
    <xf numFmtId="0" fontId="6" fillId="0" borderId="36" xfId="21" applyFont="1" applyBorder="1" applyAlignment="1" applyProtection="1">
      <alignment vertical="center" wrapText="1"/>
      <protection/>
    </xf>
    <xf numFmtId="165" fontId="6" fillId="0" borderId="17" xfId="21" applyNumberFormat="1" applyFont="1" applyBorder="1" applyAlignment="1" applyProtection="1">
      <alignment vertical="center"/>
      <protection/>
    </xf>
    <xf numFmtId="44" fontId="0" fillId="0" borderId="54" xfId="20" applyFont="1" applyBorder="1" applyAlignment="1" applyProtection="1">
      <alignment/>
      <protection locked="0"/>
    </xf>
    <xf numFmtId="44" fontId="0" fillId="0" borderId="54" xfId="20" applyFont="1" applyFill="1" applyBorder="1" applyAlignment="1" applyProtection="1">
      <alignment/>
      <protection locked="0"/>
    </xf>
    <xf numFmtId="44" fontId="0" fillId="0" borderId="57" xfId="2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6" fillId="0" borderId="15" xfId="21" applyFont="1" applyBorder="1" applyAlignment="1" applyProtection="1">
      <alignment horizontal="left" vertical="center"/>
      <protection locked="0"/>
    </xf>
    <xf numFmtId="165" fontId="6" fillId="0" borderId="19" xfId="21" applyNumberFormat="1" applyFont="1" applyBorder="1" applyAlignment="1" applyProtection="1">
      <alignment horizontal="right" vertical="center"/>
      <protection locked="0"/>
    </xf>
    <xf numFmtId="0" fontId="3" fillId="0" borderId="16" xfId="21" applyFont="1" applyBorder="1" applyAlignment="1" applyProtection="1">
      <alignment horizontal="left" vertical="center"/>
      <protection locked="0"/>
    </xf>
    <xf numFmtId="0" fontId="6" fillId="0" borderId="14" xfId="21" applyFont="1" applyBorder="1" applyAlignment="1" applyProtection="1">
      <alignment horizontal="left" vertical="center"/>
      <protection locked="0"/>
    </xf>
    <xf numFmtId="0" fontId="3" fillId="0" borderId="13" xfId="21" applyFont="1" applyBorder="1" applyAlignment="1" applyProtection="1">
      <alignment horizontal="left" vertical="center"/>
      <protection locked="0"/>
    </xf>
    <xf numFmtId="0" fontId="3" fillId="0" borderId="19" xfId="21" applyFont="1" applyBorder="1" applyAlignment="1" applyProtection="1">
      <alignment horizontal="left" vertical="center"/>
      <protection locked="0"/>
    </xf>
    <xf numFmtId="165" fontId="6" fillId="0" borderId="16" xfId="21" applyNumberFormat="1" applyFont="1" applyBorder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/>
    </xf>
    <xf numFmtId="0" fontId="29" fillId="0" borderId="59" xfId="0" applyFont="1" applyBorder="1" applyAlignment="1" applyProtection="1">
      <alignment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/>
      <protection/>
    </xf>
    <xf numFmtId="0" fontId="0" fillId="0" borderId="6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62" xfId="0" applyBorder="1" applyAlignment="1" applyProtection="1">
      <alignment/>
      <protection/>
    </xf>
    <xf numFmtId="0" fontId="18" fillId="0" borderId="63" xfId="0" applyFont="1" applyBorder="1" applyAlignment="1" applyProtection="1">
      <alignment horizontal="center" vertical="center" wrapText="1"/>
      <protection/>
    </xf>
    <xf numFmtId="0" fontId="18" fillId="0" borderId="54" xfId="0" applyFont="1" applyBorder="1" applyAlignment="1" applyProtection="1">
      <alignment horizontal="center" vertical="center" wrapText="1"/>
      <protection/>
    </xf>
    <xf numFmtId="0" fontId="18" fillId="0" borderId="64" xfId="0" applyFont="1" applyBorder="1" applyAlignment="1" applyProtection="1">
      <alignment horizontal="center" vertical="center" wrapText="1"/>
      <protection/>
    </xf>
    <xf numFmtId="0" fontId="18" fillId="0" borderId="63" xfId="0" applyFont="1" applyBorder="1" applyAlignment="1" applyProtection="1">
      <alignment horizontal="center"/>
      <protection/>
    </xf>
    <xf numFmtId="0" fontId="31" fillId="0" borderId="54" xfId="0" applyFont="1" applyBorder="1" applyAlignment="1" applyProtection="1">
      <alignment/>
      <protection/>
    </xf>
    <xf numFmtId="0" fontId="18" fillId="0" borderId="54" xfId="0" applyFont="1" applyBorder="1" applyAlignment="1" applyProtection="1">
      <alignment/>
      <protection/>
    </xf>
    <xf numFmtId="0" fontId="31" fillId="0" borderId="54" xfId="0" applyFont="1" applyBorder="1" applyAlignment="1" applyProtection="1">
      <alignment horizontal="center"/>
      <protection/>
    </xf>
    <xf numFmtId="44" fontId="18" fillId="0" borderId="64" xfId="0" applyNumberFormat="1" applyFont="1" applyBorder="1" applyAlignment="1" applyProtection="1">
      <alignment/>
      <protection/>
    </xf>
    <xf numFmtId="0" fontId="0" fillId="0" borderId="54" xfId="0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44" fontId="0" fillId="0" borderId="64" xfId="0" applyNumberForma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49" fontId="0" fillId="0" borderId="63" xfId="0" applyNumberFormat="1" applyBorder="1" applyAlignment="1" applyProtection="1">
      <alignment horizontal="center"/>
      <protection/>
    </xf>
    <xf numFmtId="0" fontId="28" fillId="0" borderId="54" xfId="0" applyFont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 horizontal="center"/>
      <protection/>
    </xf>
    <xf numFmtId="44" fontId="0" fillId="0" borderId="64" xfId="0" applyNumberFormat="1" applyFill="1" applyBorder="1" applyAlignment="1" applyProtection="1">
      <alignment/>
      <protection/>
    </xf>
    <xf numFmtId="0" fontId="0" fillId="0" borderId="54" xfId="0" applyFont="1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65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0" fontId="18" fillId="0" borderId="63" xfId="0" applyFont="1" applyFill="1" applyBorder="1" applyAlignment="1" applyProtection="1">
      <alignment horizontal="center"/>
      <protection/>
    </xf>
    <xf numFmtId="0" fontId="18" fillId="0" borderId="54" xfId="0" applyFont="1" applyFill="1" applyBorder="1" applyAlignment="1" applyProtection="1">
      <alignment/>
      <protection/>
    </xf>
    <xf numFmtId="0" fontId="31" fillId="0" borderId="54" xfId="0" applyFont="1" applyFill="1" applyBorder="1" applyAlignment="1" applyProtection="1">
      <alignment horizontal="center"/>
      <protection/>
    </xf>
    <xf numFmtId="0" fontId="31" fillId="0" borderId="66" xfId="0" applyFont="1" applyBorder="1" applyAlignment="1" applyProtection="1">
      <alignment/>
      <protection/>
    </xf>
    <xf numFmtId="0" fontId="33" fillId="0" borderId="66" xfId="0" applyFont="1" applyBorder="1" applyAlignment="1" applyProtection="1">
      <alignment/>
      <protection/>
    </xf>
    <xf numFmtId="0" fontId="13" fillId="0" borderId="66" xfId="0" applyFont="1" applyBorder="1" applyAlignment="1" applyProtection="1">
      <alignment/>
      <protection/>
    </xf>
    <xf numFmtId="0" fontId="13" fillId="0" borderId="66" xfId="0" applyFont="1" applyBorder="1" applyAlignment="1" applyProtection="1">
      <alignment horizontal="center"/>
      <protection/>
    </xf>
    <xf numFmtId="44" fontId="18" fillId="0" borderId="67" xfId="0" applyNumberFormat="1" applyFont="1" applyBorder="1" applyAlignment="1" applyProtection="1">
      <alignment/>
      <protection/>
    </xf>
    <xf numFmtId="0" fontId="3" fillId="0" borderId="0" xfId="22" applyFont="1" applyAlignment="1" applyProtection="1">
      <alignment horizontal="left" vertical="center"/>
      <protection locked="0"/>
    </xf>
    <xf numFmtId="0" fontId="6" fillId="0" borderId="34" xfId="22" applyFont="1" applyBorder="1" applyAlignment="1" applyProtection="1">
      <alignment horizontal="left" vertical="center"/>
      <protection locked="0"/>
    </xf>
    <xf numFmtId="0" fontId="6" fillId="0" borderId="15" xfId="22" applyFont="1" applyBorder="1" applyAlignment="1" applyProtection="1">
      <alignment horizontal="left" vertical="center"/>
      <protection locked="0"/>
    </xf>
    <xf numFmtId="165" fontId="6" fillId="0" borderId="19" xfId="22" applyNumberFormat="1" applyFont="1" applyBorder="1" applyAlignment="1" applyProtection="1">
      <alignment horizontal="right" vertical="center"/>
      <protection locked="0"/>
    </xf>
    <xf numFmtId="0" fontId="3" fillId="0" borderId="16" xfId="22" applyFont="1" applyBorder="1" applyAlignment="1" applyProtection="1">
      <alignment horizontal="left" vertical="center"/>
      <protection locked="0"/>
    </xf>
    <xf numFmtId="0" fontId="6" fillId="0" borderId="14" xfId="22" applyFont="1" applyBorder="1" applyAlignment="1" applyProtection="1">
      <alignment horizontal="left" vertical="center"/>
      <protection locked="0"/>
    </xf>
    <xf numFmtId="0" fontId="3" fillId="0" borderId="13" xfId="22" applyFont="1" applyBorder="1" applyAlignment="1" applyProtection="1">
      <alignment horizontal="left" vertical="center"/>
      <protection locked="0"/>
    </xf>
    <xf numFmtId="0" fontId="3" fillId="0" borderId="19" xfId="22" applyFont="1" applyBorder="1" applyAlignment="1" applyProtection="1">
      <alignment horizontal="left" vertical="center"/>
      <protection locked="0"/>
    </xf>
    <xf numFmtId="165" fontId="6" fillId="0" borderId="16" xfId="22" applyNumberFormat="1" applyFont="1" applyBorder="1" applyAlignment="1" applyProtection="1">
      <alignment horizontal="right" vertical="center"/>
      <protection locked="0"/>
    </xf>
    <xf numFmtId="49" fontId="6" fillId="0" borderId="34" xfId="22" applyNumberFormat="1" applyFont="1" applyBorder="1" applyAlignment="1" applyProtection="1">
      <alignment horizontal="left" vertical="center"/>
      <protection locked="0"/>
    </xf>
    <xf numFmtId="0" fontId="6" fillId="2" borderId="0" xfId="22" applyFont="1" applyFill="1" applyAlignment="1" applyProtection="1">
      <alignment horizontal="left" vertical="center"/>
      <protection locked="0"/>
    </xf>
    <xf numFmtId="164" fontId="3" fillId="0" borderId="0" xfId="22" applyNumberFormat="1" applyFont="1" applyAlignment="1" applyProtection="1">
      <alignment horizontal="right" vertical="center"/>
      <protection locked="0"/>
    </xf>
    <xf numFmtId="164" fontId="22" fillId="0" borderId="0" xfId="22" applyNumberFormat="1" applyFont="1" applyAlignment="1" applyProtection="1">
      <alignment horizontal="right" vertical="center"/>
      <protection locked="0"/>
    </xf>
    <xf numFmtId="164" fontId="3" fillId="0" borderId="0" xfId="22" applyNumberFormat="1" applyFont="1" applyFill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/>
    </xf>
    <xf numFmtId="0" fontId="0" fillId="0" borderId="2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2" xfId="0" applyNumberFormat="1" applyBorder="1" applyAlignment="1" applyProtection="1">
      <alignment vertical="top"/>
      <protection/>
    </xf>
    <xf numFmtId="0" fontId="0" fillId="0" borderId="4" xfId="0" applyNumberFormat="1" applyBorder="1" applyAlignment="1" applyProtection="1">
      <alignment vertical="top"/>
      <protection/>
    </xf>
    <xf numFmtId="0" fontId="0" fillId="0" borderId="55" xfId="0" applyBorder="1" applyAlignment="1" applyProtection="1">
      <alignment vertical="top"/>
      <protection/>
    </xf>
    <xf numFmtId="0" fontId="0" fillId="0" borderId="68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8" xfId="0" applyNumberFormat="1" applyBorder="1" applyAlignment="1" applyProtection="1">
      <alignment vertical="top"/>
      <protection/>
    </xf>
    <xf numFmtId="0" fontId="0" fillId="0" borderId="12" xfId="0" applyNumberFormat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69" xfId="0" applyBorder="1" applyAlignment="1" applyProtection="1">
      <alignment vertical="top"/>
      <protection/>
    </xf>
    <xf numFmtId="0" fontId="0" fillId="0" borderId="20" xfId="0" applyNumberFormat="1" applyBorder="1" applyAlignment="1" applyProtection="1">
      <alignment vertical="top"/>
      <protection/>
    </xf>
    <xf numFmtId="0" fontId="0" fillId="0" borderId="22" xfId="0" applyNumberFormat="1" applyBorder="1" applyAlignment="1" applyProtection="1">
      <alignment vertical="top"/>
      <protection/>
    </xf>
    <xf numFmtId="0" fontId="28" fillId="0" borderId="0" xfId="0" applyFont="1" applyAlignment="1" applyProtection="1">
      <alignment horizontal="left" vertical="top"/>
      <protection locked="0"/>
    </xf>
    <xf numFmtId="44" fontId="0" fillId="0" borderId="54" xfId="20" applyFont="1" applyBorder="1" applyAlignment="1" applyProtection="1">
      <alignment/>
      <protection locked="0"/>
    </xf>
    <xf numFmtId="14" fontId="6" fillId="2" borderId="0" xfId="0" applyNumberFormat="1" applyFont="1" applyFill="1" applyAlignment="1" applyProtection="1">
      <alignment horizontal="left"/>
      <protection locked="0"/>
    </xf>
    <xf numFmtId="14" fontId="6" fillId="2" borderId="0" xfId="22" applyNumberFormat="1" applyFont="1" applyFill="1" applyAlignment="1" applyProtection="1">
      <alignment horizontal="left" vertical="center"/>
      <protection locked="0"/>
    </xf>
    <xf numFmtId="0" fontId="6" fillId="0" borderId="14" xfId="21" applyFont="1" applyBorder="1" applyAlignment="1" applyProtection="1">
      <alignment horizontal="left" vertical="center" wrapText="1"/>
      <protection/>
    </xf>
    <xf numFmtId="0" fontId="6" fillId="0" borderId="36" xfId="21" applyFont="1" applyBorder="1" applyAlignment="1" applyProtection="1">
      <alignment horizontal="left" vertical="center"/>
      <protection/>
    </xf>
    <xf numFmtId="0" fontId="6" fillId="0" borderId="14" xfId="22" applyFont="1" applyBorder="1" applyAlignment="1" applyProtection="1">
      <alignment horizontal="left" vertical="center" wrapText="1"/>
      <protection/>
    </xf>
    <xf numFmtId="0" fontId="6" fillId="0" borderId="36" xfId="22" applyFont="1" applyBorder="1" applyAlignment="1" applyProtection="1">
      <alignment horizontal="left" vertical="center"/>
      <protection/>
    </xf>
    <xf numFmtId="164" fontId="8" fillId="0" borderId="50" xfId="0" applyNumberFormat="1" applyFont="1" applyFill="1" applyBorder="1" applyAlignment="1" applyProtection="1">
      <alignment horizontal="right" vertical="center"/>
      <protection/>
    </xf>
    <xf numFmtId="0" fontId="6" fillId="0" borderId="34" xfId="21" applyFont="1" applyBorder="1" applyAlignment="1" applyProtection="1">
      <alignment horizontal="left" vertical="center"/>
      <protection/>
    </xf>
    <xf numFmtId="0" fontId="6" fillId="0" borderId="0" xfId="21" applyFont="1" applyAlignment="1" applyProtection="1">
      <alignment horizontal="left" vertical="center"/>
      <protection/>
    </xf>
    <xf numFmtId="14" fontId="10" fillId="0" borderId="0" xfId="21" applyNumberFormat="1" applyFont="1" applyAlignment="1" applyProtection="1">
      <alignment horizontal="left" vertical="center"/>
      <protection/>
    </xf>
    <xf numFmtId="0" fontId="11" fillId="0" borderId="0" xfId="21" applyFont="1" applyAlignment="1" applyProtection="1">
      <alignment horizontal="left" vertical="center"/>
      <protection/>
    </xf>
    <xf numFmtId="44" fontId="0" fillId="0" borderId="54" xfId="20" applyFont="1" applyBorder="1" applyAlignment="1" applyProtection="1">
      <alignment/>
      <protection/>
    </xf>
    <xf numFmtId="44" fontId="31" fillId="0" borderId="54" xfId="20" applyFont="1" applyBorder="1" applyAlignment="1" applyProtection="1">
      <alignment/>
      <protection/>
    </xf>
    <xf numFmtId="49" fontId="0" fillId="0" borderId="63" xfId="0" applyNumberForma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6" fillId="0" borderId="34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horizontal="left" vertical="center"/>
      <protection/>
    </xf>
    <xf numFmtId="14" fontId="10" fillId="0" borderId="0" xfId="22" applyNumberFormat="1" applyFont="1" applyAlignment="1" applyProtection="1">
      <alignment horizontal="left" vertical="center"/>
      <protection/>
    </xf>
    <xf numFmtId="0" fontId="11" fillId="0" borderId="0" xfId="22" applyFont="1" applyAlignment="1" applyProtection="1">
      <alignment horizontal="left" vertical="center"/>
      <protection/>
    </xf>
    <xf numFmtId="0" fontId="7" fillId="0" borderId="71" xfId="0" applyFont="1" applyBorder="1" applyAlignment="1" applyProtection="1">
      <alignment horizontal="left" vertical="center"/>
      <protection/>
    </xf>
    <xf numFmtId="0" fontId="7" fillId="0" borderId="72" xfId="0" applyFont="1" applyBorder="1" applyAlignment="1" applyProtection="1">
      <alignment horizontal="left" vertical="center"/>
      <protection/>
    </xf>
    <xf numFmtId="0" fontId="7" fillId="0" borderId="73" xfId="0" applyFont="1" applyBorder="1" applyAlignment="1" applyProtection="1">
      <alignment horizontal="left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6" fillId="0" borderId="9" xfId="21" applyFont="1" applyBorder="1" applyAlignment="1" applyProtection="1">
      <alignment horizontal="left" vertical="center" wrapText="1"/>
      <protection/>
    </xf>
    <xf numFmtId="165" fontId="6" fillId="0" borderId="10" xfId="21" applyNumberFormat="1" applyFont="1" applyBorder="1" applyAlignment="1" applyProtection="1">
      <alignment horizontal="left" vertical="center"/>
      <protection/>
    </xf>
    <xf numFmtId="165" fontId="6" fillId="0" borderId="11" xfId="21" applyNumberFormat="1" applyFont="1" applyBorder="1" applyAlignment="1" applyProtection="1">
      <alignment horizontal="left" vertical="center"/>
      <protection/>
    </xf>
    <xf numFmtId="0" fontId="6" fillId="0" borderId="14" xfId="21" applyFont="1" applyBorder="1" applyAlignment="1" applyProtection="1">
      <alignment horizontal="left" vertical="center" wrapText="1"/>
      <protection/>
    </xf>
    <xf numFmtId="165" fontId="6" fillId="0" borderId="0" xfId="21" applyNumberFormat="1" applyFont="1" applyAlignment="1" applyProtection="1">
      <alignment horizontal="left" vertical="center"/>
      <protection/>
    </xf>
    <xf numFmtId="165" fontId="6" fillId="0" borderId="13" xfId="21" applyNumberFormat="1" applyFont="1" applyBorder="1" applyAlignment="1" applyProtection="1">
      <alignment horizontal="left" vertical="center"/>
      <protection/>
    </xf>
    <xf numFmtId="0" fontId="6" fillId="0" borderId="36" xfId="21" applyFont="1" applyBorder="1" applyAlignment="1" applyProtection="1">
      <alignment horizontal="left" vertical="center"/>
      <protection/>
    </xf>
    <xf numFmtId="165" fontId="6" fillId="0" borderId="17" xfId="21" applyNumberFormat="1" applyFont="1" applyBorder="1" applyAlignment="1" applyProtection="1">
      <alignment horizontal="left" vertical="center"/>
      <protection/>
    </xf>
    <xf numFmtId="165" fontId="6" fillId="0" borderId="18" xfId="21" applyNumberFormat="1" applyFont="1" applyBorder="1" applyAlignment="1" applyProtection="1">
      <alignment horizontal="left" vertical="center"/>
      <protection/>
    </xf>
    <xf numFmtId="0" fontId="6" fillId="0" borderId="36" xfId="21" applyFont="1" applyBorder="1" applyAlignment="1" applyProtection="1">
      <alignment horizontal="left" vertical="center" wrapText="1"/>
      <protection/>
    </xf>
    <xf numFmtId="0" fontId="6" fillId="0" borderId="9" xfId="22" applyFont="1" applyBorder="1" applyAlignment="1" applyProtection="1">
      <alignment horizontal="left" vertical="center" wrapText="1"/>
      <protection/>
    </xf>
    <xf numFmtId="165" fontId="6" fillId="0" borderId="10" xfId="22" applyNumberFormat="1" applyFont="1" applyBorder="1" applyAlignment="1" applyProtection="1">
      <alignment horizontal="left" vertical="center"/>
      <protection/>
    </xf>
    <xf numFmtId="165" fontId="6" fillId="0" borderId="11" xfId="22" applyNumberFormat="1" applyFont="1" applyBorder="1" applyAlignment="1" applyProtection="1">
      <alignment horizontal="left" vertical="center"/>
      <protection/>
    </xf>
    <xf numFmtId="0" fontId="6" fillId="0" borderId="14" xfId="22" applyFont="1" applyBorder="1" applyAlignment="1" applyProtection="1">
      <alignment horizontal="left" vertical="center" wrapText="1"/>
      <protection/>
    </xf>
    <xf numFmtId="165" fontId="6" fillId="0" borderId="0" xfId="22" applyNumberFormat="1" applyFont="1" applyAlignment="1" applyProtection="1">
      <alignment horizontal="left" vertical="center"/>
      <protection/>
    </xf>
    <xf numFmtId="165" fontId="6" fillId="0" borderId="13" xfId="22" applyNumberFormat="1" applyFont="1" applyBorder="1" applyAlignment="1" applyProtection="1">
      <alignment horizontal="left" vertical="center"/>
      <protection/>
    </xf>
    <xf numFmtId="0" fontId="6" fillId="0" borderId="36" xfId="22" applyFont="1" applyBorder="1" applyAlignment="1" applyProtection="1">
      <alignment horizontal="left" vertical="center"/>
      <protection/>
    </xf>
    <xf numFmtId="165" fontId="6" fillId="0" borderId="17" xfId="22" applyNumberFormat="1" applyFont="1" applyBorder="1" applyAlignment="1" applyProtection="1">
      <alignment horizontal="left" vertical="center"/>
      <protection/>
    </xf>
    <xf numFmtId="165" fontId="6" fillId="0" borderId="18" xfId="22" applyNumberFormat="1" applyFont="1" applyBorder="1" applyAlignment="1" applyProtection="1">
      <alignment horizontal="left" vertical="center"/>
      <protection/>
    </xf>
    <xf numFmtId="0" fontId="6" fillId="0" borderId="36" xfId="22" applyFont="1" applyBorder="1" applyAlignment="1" applyProtection="1">
      <alignment horizontal="left" vertical="center" wrapText="1"/>
      <protection/>
    </xf>
    <xf numFmtId="2" fontId="3" fillId="0" borderId="11" xfId="21" applyNumberFormat="1" applyFont="1" applyBorder="1" applyAlignment="1" applyProtection="1">
      <alignment horizontal="center" vertical="center" wrapText="1"/>
      <protection/>
    </xf>
    <xf numFmtId="2" fontId="3" fillId="0" borderId="13" xfId="21" applyNumberFormat="1" applyFont="1" applyBorder="1" applyAlignment="1" applyProtection="1">
      <alignment horizontal="center" vertical="center" wrapText="1"/>
      <protection/>
    </xf>
    <xf numFmtId="2" fontId="3" fillId="0" borderId="18" xfId="21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</cellStyles>
  <dxfs count="15"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514350</xdr:colOff>
          <xdr:row>7</xdr:row>
          <xdr:rowOff>47625</xdr:rowOff>
        </xdr:from>
        <xdr:to>
          <xdr:col>10</xdr:col>
          <xdr:colOff>142875</xdr:colOff>
          <xdr:row>9</xdr:row>
          <xdr:rowOff>114300</xdr:rowOff>
        </xdr:to>
        <xdr:sp macro="" textlink="">
          <xdr:nvSpPr>
            <xdr:cNvPr id="2050" name="Button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00"/>
                  </a:solidFill>
                  <a:latin typeface="MS Sans Serif"/>
                </a:rPr>
                <a:t>Přepočítat tabulku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0145\Tabulky\Rozpocet\ROZPOCET_celkov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anační část Krycí list"/>
      <sheetName val="Sanační část Rozpočet"/>
      <sheetName val="Stavební část Krycí list"/>
      <sheetName val="SO01 Krycí list"/>
      <sheetName val="SO01 Rozpocet"/>
      <sheetName val="SO02 Krycí list"/>
      <sheetName val="SO02 Rozpocet"/>
    </sheetNames>
    <sheetDataSet>
      <sheetData sheetId="0">
        <row r="4">
          <cell r="B4" t="str">
            <v>Ministerstvo financí ČR</v>
          </cell>
        </row>
      </sheetData>
      <sheetData sheetId="1"/>
      <sheetData sheetId="2"/>
      <sheetData sheetId="3"/>
      <sheetData sheetId="4">
        <row r="42">
          <cell r="E42">
            <v>0</v>
          </cell>
        </row>
        <row r="43">
          <cell r="E43">
            <v>0</v>
          </cell>
        </row>
      </sheetData>
      <sheetData sheetId="5"/>
      <sheetData sheetId="6">
        <row r="42">
          <cell r="E42">
            <v>0</v>
          </cell>
        </row>
        <row r="43">
          <cell r="E43">
            <v>0</v>
          </cell>
        </row>
      </sheetData>
      <sheetData sheetId="7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72" refreshedBy="Ing. Jelena Ryšková" refreshedVersion="4">
  <cacheSource type="worksheet">
    <worksheetSource ref="A4:G76" sheet="Sanační část Rozpočet"/>
  </cacheSource>
  <cacheFields count="7">
    <cacheField name="CPV">
      <sharedItems containsBlank="1" containsMixedTypes="0" count="9">
        <m/>
        <s v="45252000-8"/>
        <s v="90522200-4"/>
        <s v="90522100-3"/>
        <s v="90114100-0"/>
        <s v="45232451-8"/>
        <s v="90313000-4"/>
        <s v="90122120-5"/>
        <s v="45112340-0"/>
      </sharedItems>
    </cacheField>
    <cacheField name="CPV2">
      <sharedItems containsBlank="1" containsMixedTypes="0" count="0"/>
    </cacheField>
    <cacheField name="Činnost">
      <sharedItems containsMixedTypes="0" count="0"/>
    </cacheField>
    <cacheField name="Jednotka">
      <sharedItems containsBlank="1" containsMixedTypes="0" count="0"/>
    </cacheField>
    <cacheField name="Počet">
      <sharedItems containsString="0" containsBlank="1" containsMixedTypes="0" containsNumber="1" containsInteger="1" count="0"/>
    </cacheField>
    <cacheField name="Jedn. cena">
      <sharedItems containsString="0" containsBlank="1" containsMixedTypes="1" count="0"/>
    </cacheField>
    <cacheField name="Celkem">
      <sharedItems containsString="0" containsBlank="1" containsMixedTypes="0" containsNumber="1" containsInteger="1" count="82">
        <n v="0"/>
        <m/>
        <n v="19600"/>
        <n v="46800"/>
        <n v="100"/>
        <n v="9000"/>
        <n v="54000"/>
        <n v="1404000"/>
        <n v="1345000"/>
        <n v="10800"/>
        <n v="435000"/>
        <n v="3000"/>
        <n v="313200"/>
        <n v="807000"/>
        <n v="3955700"/>
        <n v="78000"/>
        <n v="29700"/>
        <n v="5783500"/>
        <n v="81000"/>
        <n v="14400"/>
        <n v="33000"/>
        <n v="42250"/>
        <n v="9450"/>
        <n v="31200"/>
        <n v="434400"/>
        <n v="87000"/>
        <n v="1076000"/>
        <n v="44500"/>
        <n v="71500"/>
        <n v="22050"/>
        <n v="41760"/>
        <n v="1500"/>
        <n v="43200"/>
        <n v="93000"/>
        <n v="156600"/>
        <n v="41800"/>
        <n v="244800"/>
        <n v="538100"/>
        <n v="312000"/>
        <n v="3047240"/>
        <n v="49000"/>
        <n v="97500"/>
        <n v="29250"/>
        <n v="40500"/>
        <n v="9900"/>
        <n v="16500"/>
        <n v="11700"/>
        <n v="31450"/>
        <n v="52000"/>
        <n v="135000"/>
        <n v="15860550"/>
        <n v="43500"/>
        <n v="136500"/>
        <n v="538000"/>
        <n v="200"/>
        <n v="1200"/>
        <n v="1177200"/>
        <n v="106500"/>
        <n v="45000"/>
        <n v="107250"/>
        <n v="125000"/>
        <n v="336250"/>
        <n v="2152100"/>
        <n v="1166200"/>
        <n v="1883300"/>
        <n v="21600"/>
        <n v="23040"/>
        <n v="77000"/>
        <n v="1030000"/>
        <n v="172250"/>
        <n v="261000"/>
        <n v="138250"/>
        <n v="156000"/>
        <n v="1517160"/>
        <n v="2153400"/>
        <n v="4950"/>
        <n v="12500"/>
        <n v="1101600"/>
        <n v="6163250"/>
        <n v="154350"/>
        <n v="1300"/>
        <n v="18831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m/>
    <s v="Sanace zemin saturované zóny"/>
    <m/>
    <m/>
    <m/>
    <x v="0"/>
  </r>
  <r>
    <x v="1"/>
    <m/>
    <s v="Vybudování manipulační plochy pro deponii nekontaminované zeminy"/>
    <s v="j."/>
    <n v="1"/>
    <m/>
    <x v="0"/>
  </r>
  <r>
    <x v="2"/>
    <s v="45112340-0"/>
    <s v="Odstranění kontaminované zeminy - skládkování"/>
    <s v="t"/>
    <n v="2690"/>
    <m/>
    <x v="0"/>
  </r>
  <r>
    <x v="3"/>
    <s v="45112340-0"/>
    <s v="Přeprava zeminy k odstranění (do 20km)"/>
    <s v="t"/>
    <n v="2690"/>
    <m/>
    <x v="0"/>
  </r>
  <r>
    <x v="0"/>
    <m/>
    <s v="Sanace podzemní vody"/>
    <m/>
    <m/>
    <m/>
    <x v="0"/>
  </r>
  <r>
    <x v="4"/>
    <s v="45232451-8"/>
    <s v="Opakované odčerpávání volné fáze NEL ohnisko 5 (visteon 02)"/>
    <s v="j."/>
    <n v="1"/>
    <m/>
    <x v="0"/>
  </r>
  <r>
    <x v="5"/>
    <s v="45232451-8"/>
    <s v="Stabilizace vodočtu Jičínka, Grasmanka"/>
    <s v="ks"/>
    <n v="6"/>
    <m/>
    <x v="0"/>
  </r>
  <r>
    <x v="5"/>
    <s v="45232451-8"/>
    <s v="Zaměření nových vrtů a vodočtů"/>
    <s v="ks"/>
    <n v="37"/>
    <m/>
    <x v="0"/>
  </r>
  <r>
    <x v="5"/>
    <s v="45232451-8"/>
    <s v="Zaměření výkopových jam ohnisko 1 a 3"/>
    <s v="ks"/>
    <n v="2"/>
    <m/>
    <x v="0"/>
  </r>
  <r>
    <x v="0"/>
    <m/>
    <s v="Stavební čerpání ohniska 1 a 3"/>
    <m/>
    <m/>
    <m/>
    <x v="1"/>
  </r>
  <r>
    <x v="1"/>
    <s v="45252000-8"/>
    <s v="Vybudování sanačních ploch - technologie stavebního čerpání (ohnisko 1 a 3)"/>
    <s v="ks"/>
    <n v="2"/>
    <m/>
    <x v="0"/>
  </r>
  <r>
    <x v="1"/>
    <s v="45252000-8"/>
    <s v="Instalace dekontaminační jednotky - stavební čerpání (ohniska 1 a 3)"/>
    <s v="j."/>
    <n v="2"/>
    <m/>
    <x v="0"/>
  </r>
  <r>
    <x v="5"/>
    <s v="45252000-8"/>
    <s v="Přeprava technologie pro stavební čerpání"/>
    <s v="j."/>
    <n v="2"/>
    <m/>
    <x v="0"/>
  </r>
  <r>
    <x v="5"/>
    <s v="45232451-8"/>
    <s v="Rozvody (ohnisko 1 a 3)"/>
    <s v="m"/>
    <n v="120"/>
    <m/>
    <x v="0"/>
  </r>
  <r>
    <x v="5"/>
    <s v="45232451-8"/>
    <s v="Kabelové rozvody (ohnisko 1 a 3)"/>
    <s v="m"/>
    <n v="120"/>
    <m/>
    <x v="0"/>
  </r>
  <r>
    <x v="5"/>
    <s v="45252000-8"/>
    <s v="Instalace akumulační a odkalovací nádrže"/>
    <s v="ks"/>
    <n v="2"/>
    <m/>
    <x v="0"/>
  </r>
  <r>
    <x v="4"/>
    <m/>
    <s v="Aktivní uhlí, nákup, manipulace, užití"/>
    <s v="kg"/>
    <n v="600"/>
    <m/>
    <x v="0"/>
  </r>
  <r>
    <x v="4"/>
    <m/>
    <s v="Odstraňování AU a ostatních odpadů z dekontaminace"/>
    <s v="t"/>
    <n v="2"/>
    <m/>
    <x v="0"/>
  </r>
  <r>
    <x v="4"/>
    <m/>
    <s v="Vypouštění dekontaminované vody do kanalizace (50 dnů)"/>
    <s v="m3"/>
    <n v="3950"/>
    <m/>
    <x v="0"/>
  </r>
  <r>
    <x v="4"/>
    <s v="45259200-9"/>
    <s v="Obsluha sanační soupravy, provoz soupravy"/>
    <s v="měsíc"/>
    <n v="2"/>
    <m/>
    <x v="0"/>
  </r>
  <r>
    <x v="5"/>
    <s v="45252000-8"/>
    <s v="Deinstalace sanační technologie - stavební čerpání (ohniska 1 a 3) vč. dopravy"/>
    <s v="j."/>
    <n v="2"/>
    <m/>
    <x v="0"/>
  </r>
  <r>
    <x v="0"/>
    <m/>
    <s v="Aplikace oxidačního činidla - metoda ISCO - ohniska 1, 3 a 4"/>
    <m/>
    <m/>
    <m/>
    <x v="1"/>
  </r>
  <r>
    <x v="1"/>
    <m/>
    <s v="Vybudování sanačních ploch - technologie ISCO"/>
    <s v="ks"/>
    <n v="3"/>
    <m/>
    <x v="0"/>
  </r>
  <r>
    <x v="6"/>
    <m/>
    <s v="Laboratorní testy a kolonové testy (DOC, TOC)  "/>
    <s v="ks"/>
    <n v="1"/>
    <m/>
    <x v="0"/>
  </r>
  <r>
    <x v="6"/>
    <m/>
    <s v="Stopovací zkoušky "/>
    <s v="ks"/>
    <n v="1"/>
    <m/>
    <x v="0"/>
  </r>
  <r>
    <x v="4"/>
    <m/>
    <s v="Poloprovozní test ISCO (pilotní test)"/>
    <s v="ks"/>
    <n v="3"/>
    <m/>
    <x v="0"/>
  </r>
  <r>
    <x v="4"/>
    <m/>
    <s v="Přeprava technologie"/>
    <s v="j."/>
    <n v="3"/>
    <m/>
    <x v="0"/>
  </r>
  <r>
    <x v="4"/>
    <m/>
    <s v="Instalace ISCO technologie, vč. zabezpečení proti úniku oxid. činidla, skladování"/>
    <s v="ks"/>
    <n v="3"/>
    <m/>
    <x v="0"/>
  </r>
  <r>
    <x v="4"/>
    <s v="90114100-0"/>
    <s v="Provoz míchacího zařízení oxid. činidla"/>
    <s v="dávka"/>
    <n v="20"/>
    <m/>
    <x v="0"/>
  </r>
  <r>
    <x v="4"/>
    <s v="90114100-0"/>
    <s v="Infiltrace oxidačního činidla vč. nákupu manganistanu"/>
    <s v="dávka"/>
    <n v="20"/>
    <m/>
    <x v="0"/>
  </r>
  <r>
    <x v="4"/>
    <s v="45259200-9"/>
    <s v="Obsluha sanační soupravy, sledování postupu oxidace"/>
    <s v="měsíc"/>
    <n v="12"/>
    <m/>
    <x v="0"/>
  </r>
  <r>
    <x v="5"/>
    <s v="45232451-8"/>
    <s v="Likvidace sanačních děl , vrty, drény (tamponáž)"/>
    <s v="bm"/>
    <n v="1372"/>
    <m/>
    <x v="0"/>
  </r>
  <r>
    <x v="5"/>
    <m/>
    <s v="Instalace &quot;Nortonek&quot; (vpichované sondy)"/>
    <s v="ks"/>
    <n v="20"/>
    <m/>
    <x v="0"/>
  </r>
  <r>
    <x v="0"/>
    <m/>
    <s v="Sanační monitoring"/>
    <m/>
    <m/>
    <m/>
    <x v="0"/>
  </r>
  <r>
    <x v="6"/>
    <s v="903 130 00 - 4"/>
    <s v="Odběr vzorků zemin"/>
    <s v="vzorek"/>
    <n v="63"/>
    <m/>
    <x v="0"/>
  </r>
  <r>
    <x v="6"/>
    <s v="903 130 00 - 4"/>
    <s v="Odběr vzorků vody - dynamicky"/>
    <s v="vzorek"/>
    <n v="65"/>
    <m/>
    <x v="0"/>
  </r>
  <r>
    <x v="6"/>
    <s v="903 130 00 - 4"/>
    <s v="Odběr vzorků vody staticky"/>
    <s v="vzorek"/>
    <n v="6"/>
    <m/>
    <x v="0"/>
  </r>
  <r>
    <x v="6"/>
    <s v="903 130 00 - 4"/>
    <s v="Odběr vzorků vody - základní sada pro posouzení účinnosti oxidace"/>
    <s v="vzorek"/>
    <n v="216"/>
    <m/>
    <x v="0"/>
  </r>
  <r>
    <x v="6"/>
    <s v="903 130 00 - 4"/>
    <s v="Odběr vzorků - stanovení vyluhovatelnosti"/>
    <s v="vzorek"/>
    <n v="11"/>
    <m/>
    <x v="0"/>
  </r>
  <r>
    <x v="6"/>
    <s v="903 130 00 - 4"/>
    <s v="Stanovení NEL, CLU, C10-C40 v zemině v sušině"/>
    <s v="rozbor"/>
    <n v="63"/>
    <m/>
    <x v="0"/>
  </r>
  <r>
    <x v="6"/>
    <s v="903 130 00 - 4"/>
    <s v="Stanovení vyluhovatelnosti"/>
    <s v="rozbor"/>
    <n v="11"/>
    <m/>
    <x v="0"/>
  </r>
  <r>
    <x v="6"/>
    <s v="903 130 00 - 4"/>
    <s v="Stanovení NEL ve vodě"/>
    <s v="rozbor"/>
    <n v="49"/>
    <m/>
    <x v="0"/>
  </r>
  <r>
    <x v="6"/>
    <s v="903 130 00 - 4"/>
    <s v="Stanovení C10-C40"/>
    <s v="rozbor"/>
    <n v="16"/>
    <m/>
    <x v="0"/>
  </r>
  <r>
    <x v="6"/>
    <s v="903 130 00 - 4"/>
    <s v="Stanovení ClU v podzemní vodě (včetně VC)"/>
    <s v="rozbor"/>
    <n v="65"/>
    <m/>
    <x v="0"/>
  </r>
  <r>
    <x v="6"/>
    <s v="903 130 00 - 4"/>
    <s v="Stanovení ClU v povrchové vodě (včetně VC)"/>
    <s v="rozbor"/>
    <n v="6"/>
    <m/>
    <x v="0"/>
  </r>
  <r>
    <x v="6"/>
    <s v="903 130 00 - 4"/>
    <s v="Stanovení - základní sada pro posouzení účinnosti oxidace"/>
    <s v="rozbor"/>
    <n v="216"/>
    <m/>
    <x v="0"/>
  </r>
  <r>
    <x v="6"/>
    <s v="903 130 00 - 4"/>
    <s v="Zkrácený chemický rozbor ZCHR"/>
    <s v="rozbor"/>
    <n v="18"/>
    <m/>
    <x v="0"/>
  </r>
  <r>
    <x v="6"/>
    <s v="903 130 00 - 4"/>
    <s v="Záměry hladiny podzemní vody"/>
    <s v="záměr"/>
    <n v="192"/>
    <m/>
    <x v="0"/>
  </r>
  <r>
    <x v="6"/>
    <s v="903 130 00 - 4"/>
    <s v="Údaje ČHMÚ"/>
    <s v="sada"/>
    <n v="24"/>
    <m/>
    <x v="0"/>
  </r>
  <r>
    <x v="6"/>
    <s v="903 130 00 - 4"/>
    <s v="Přeprava vzorků"/>
    <s v="km"/>
    <n v="4500"/>
    <m/>
    <x v="0"/>
  </r>
  <r>
    <x v="0"/>
    <m/>
    <s v="Postsanační monitoring"/>
    <m/>
    <m/>
    <m/>
    <x v="0"/>
  </r>
  <r>
    <x v="6"/>
    <s v="903 130 00 - 4"/>
    <s v="Vzorky podzemní vody - dynamicky"/>
    <s v="vzorek"/>
    <n v="348"/>
    <m/>
    <x v="0"/>
  </r>
  <r>
    <x v="6"/>
    <s v="903 130 00 - 4"/>
    <s v="Stanovení NEL ve vodě"/>
    <s v="rozbor"/>
    <n v="348"/>
    <m/>
    <x v="0"/>
  </r>
  <r>
    <x v="6"/>
    <s v="903 130 00 - 4"/>
    <s v="Stanovení C10-C40"/>
    <s v="rozbor"/>
    <n v="348"/>
    <m/>
    <x v="0"/>
  </r>
  <r>
    <x v="6"/>
    <s v="903 130 00 - 4"/>
    <s v="Stanovení CLU"/>
    <s v="rozbor"/>
    <n v="348"/>
    <m/>
    <x v="0"/>
  </r>
  <r>
    <x v="6"/>
    <s v="903 130 00 - 4"/>
    <s v="ZCHR"/>
    <s v="rozbor"/>
    <n v="288"/>
    <m/>
    <x v="0"/>
  </r>
  <r>
    <x v="6"/>
    <s v="903 130 00 - 4"/>
    <s v="Záměry hladiny podzemní vody (12x) - kvartálně po dobu 36 měsíců"/>
    <s v="záměr"/>
    <n v="348"/>
    <m/>
    <x v="0"/>
  </r>
  <r>
    <x v="6"/>
    <s v="903 130 00 - 4"/>
    <s v="Údaje ČHMÚ"/>
    <s v="sada"/>
    <n v="48"/>
    <m/>
    <x v="0"/>
  </r>
  <r>
    <x v="6"/>
    <s v="903 130 00 - 4"/>
    <s v="Přeprava vzorků"/>
    <s v="km"/>
    <n v="3600"/>
    <m/>
    <x v="0"/>
  </r>
  <r>
    <x v="0"/>
    <m/>
    <s v="Práce geologické služby"/>
    <m/>
    <m/>
    <m/>
    <x v="0"/>
  </r>
  <r>
    <x v="7"/>
    <s v="901 221 20 - 5"/>
    <s v="Projednání ve VP řízení, inženýrská činnost"/>
    <s v="hod."/>
    <n v="120"/>
    <m/>
    <x v="0"/>
  </r>
  <r>
    <x v="7"/>
    <s v="901 221 20 - 5"/>
    <s v="Sled, řízení a koordinace prací - nesaturované zóny"/>
    <s v="hod."/>
    <n v="265"/>
    <m/>
    <x v="0"/>
  </r>
  <r>
    <x v="7"/>
    <s v="901 221 20 - 5"/>
    <s v="Sled, řízení a koordinace prací - sanace podzemní vody"/>
    <s v="hod."/>
    <n v="480"/>
    <m/>
    <x v="0"/>
  </r>
  <r>
    <x v="7"/>
    <s v="901 221 20 - 5"/>
    <s v="Počítačové zpracování dat"/>
    <s v="hod."/>
    <n v="210"/>
    <m/>
    <x v="0"/>
  </r>
  <r>
    <x v="7"/>
    <s v="901 221 20 - 5"/>
    <s v="Vyhodnocení prací - etapové a roční zprávy"/>
    <s v="hod."/>
    <n v="240"/>
    <m/>
    <x v="0"/>
  </r>
  <r>
    <x v="7"/>
    <s v="901 221 20 - 5"/>
    <s v="Vyhodnocení prací - závěrečná zpráva"/>
    <s v="hod."/>
    <n v="150"/>
    <m/>
    <x v="0"/>
  </r>
  <r>
    <x v="7"/>
    <s v="901 221 20 - 5"/>
    <s v="Práce konzultantů a specialistů"/>
    <s v="hod."/>
    <n v="80"/>
    <m/>
    <x v="0"/>
  </r>
  <r>
    <x v="7"/>
    <s v="901 221 20 - 5"/>
    <s v="Kompletace a reprodukce"/>
    <s v="hod."/>
    <n v="18"/>
    <m/>
    <x v="0"/>
  </r>
  <r>
    <x v="7"/>
    <s v="901 221 20 - 5"/>
    <s v="Plnění databáze SEKM a Priority KM"/>
    <s v="hod."/>
    <n v="45"/>
    <m/>
    <x v="0"/>
  </r>
  <r>
    <x v="7"/>
    <s v="901 221 20 - 5"/>
    <s v="Aktualizace analýzy rizik"/>
    <s v="hod."/>
    <n v="120"/>
    <m/>
    <x v="0"/>
  </r>
  <r>
    <x v="7"/>
    <m/>
    <s v="Přeprava"/>
    <s v="km"/>
    <n v="4500"/>
    <m/>
    <x v="0"/>
  </r>
  <r>
    <x v="0"/>
    <m/>
    <s v="Celkové náklady na sanaci"/>
    <m/>
    <m/>
    <m/>
    <x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4" updatedVersion="4" indent="0" gridDropZones="1" showMemberPropertyTips="0">
  <location ref="A1:D20" firstHeaderRow="1" firstDataRow="2" firstDataCol="2"/>
  <pivotFields count="7">
    <pivotField axis="axisRow" compact="0" outline="0" subtotalTop="0" showAll="0" includeNewItemsInFilter="1">
      <items count="10">
        <item m="1" x="8"/>
        <item x="5"/>
        <item x="1"/>
        <item x="4"/>
        <item x="7"/>
        <item x="6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83">
        <item m="1" x="31"/>
        <item m="1" x="11"/>
        <item m="1" x="75"/>
        <item m="1" x="5"/>
        <item m="1" x="22"/>
        <item m="1" x="44"/>
        <item m="1" x="9"/>
        <item m="1" x="46"/>
        <item m="1" x="76"/>
        <item m="1" x="19"/>
        <item m="1" x="45"/>
        <item m="1" x="2"/>
        <item m="1" x="65"/>
        <item m="1" x="29"/>
        <item m="1" x="66"/>
        <item m="1" x="42"/>
        <item m="1" x="16"/>
        <item m="1" x="23"/>
        <item m="1" x="47"/>
        <item m="1" x="20"/>
        <item m="1" x="43"/>
        <item m="1" x="30"/>
        <item m="1" x="35"/>
        <item m="1" x="21"/>
        <item m="1" x="32"/>
        <item m="1" x="51"/>
        <item m="1" x="27"/>
        <item m="1" x="58"/>
        <item m="1" x="3"/>
        <item m="1" x="40"/>
        <item m="1" x="48"/>
        <item m="1" x="6"/>
        <item m="1" x="28"/>
        <item m="1" x="67"/>
        <item m="1" x="15"/>
        <item m="1" x="18"/>
        <item m="1" x="25"/>
        <item m="1" x="33"/>
        <item m="1" x="41"/>
        <item m="1" x="57"/>
        <item m="1" x="59"/>
        <item m="1" x="60"/>
        <item m="1" x="49"/>
        <item m="1" x="52"/>
        <item m="1" x="71"/>
        <item m="1" x="79"/>
        <item m="1" x="72"/>
        <item m="1" x="34"/>
        <item m="1" x="69"/>
        <item m="1" x="36"/>
        <item m="1" x="70"/>
        <item m="1" x="38"/>
        <item m="1" x="12"/>
        <item m="1" x="61"/>
        <item m="1" x="24"/>
        <item m="1" x="10"/>
        <item m="1" x="68"/>
        <item m="1" x="77"/>
        <item m="1" x="63"/>
        <item m="1" x="56"/>
        <item m="1" x="7"/>
        <item m="1" x="73"/>
        <item m="1" x="39"/>
        <item m="1" x="14"/>
        <item m="1" x="17"/>
        <item m="1" x="78"/>
        <item m="1" x="50"/>
        <item x="1"/>
        <item x="0"/>
        <item m="1" x="4"/>
        <item m="1" x="55"/>
        <item m="1" x="80"/>
        <item m="1" x="81"/>
        <item m="1" x="13"/>
        <item m="1" x="26"/>
        <item m="1" x="54"/>
        <item m="1" x="64"/>
        <item m="1" x="62"/>
        <item m="1" x="8"/>
        <item m="1" x="74"/>
        <item m="1" x="37"/>
        <item m="1" x="53"/>
        <item t="default"/>
      </items>
    </pivotField>
  </pivotFields>
  <rowFields count="2">
    <field x="0"/>
    <field x="6"/>
  </rowFields>
  <rowItems count="18">
    <i>
      <x v="1"/>
      <x v="68"/>
    </i>
    <i t="default">
      <x v="1"/>
    </i>
    <i>
      <x v="2"/>
      <x v="68"/>
    </i>
    <i t="default">
      <x v="2"/>
    </i>
    <i>
      <x v="3"/>
      <x v="68"/>
    </i>
    <i t="default">
      <x v="3"/>
    </i>
    <i>
      <x v="4"/>
      <x v="68"/>
    </i>
    <i t="default">
      <x v="4"/>
    </i>
    <i>
      <x v="5"/>
      <x v="68"/>
    </i>
    <i t="default">
      <x v="5"/>
    </i>
    <i>
      <x v="6"/>
      <x v="67"/>
    </i>
    <i r="1">
      <x v="68"/>
    </i>
    <i t="default">
      <x v="6"/>
    </i>
    <i>
      <x v="7"/>
      <x v="68"/>
    </i>
    <i t="default">
      <x v="7"/>
    </i>
    <i>
      <x v="8"/>
      <x v="68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Celkem" fld="6" baseField="6" baseItem="1"/>
    <dataField name="Počet z Celkem" fld="6" subtotal="count" baseField="0" baseItem="0"/>
  </dataFields>
  <formats count="15">
    <format dxfId="14">
      <pivotArea outline="0" fieldPosition="0"/>
    </format>
    <format dxfId="13">
      <pivotArea outline="0" fieldPosition="0" axis="axisRow" dataOnly="0" field="0" labelOnly="1" type="button"/>
    </format>
    <format dxfId="12">
      <pivotArea outline="0" fieldPosition="1" axis="axisRow" dataOnly="0" field="6" labelOnly="1" type="button"/>
    </format>
    <format dxfId="11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8">
      <pivotArea outline="0" fieldPosition="0" dataOnly="0" labelOnly="1">
        <references count="2">
          <reference field="0" count="1">
            <x v="1"/>
          </reference>
          <reference field="6" count="1">
            <x v="68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6" count="1">
            <x v="68"/>
          </reference>
        </references>
      </pivotArea>
    </format>
    <format dxfId="6">
      <pivotArea outline="0" fieldPosition="0" dataOnly="0" labelOnly="1">
        <references count="2">
          <reference field="0" count="1">
            <x v="3"/>
          </reference>
          <reference field="6" count="1">
            <x v="68"/>
          </reference>
        </references>
      </pivotArea>
    </format>
    <format dxfId="5">
      <pivotArea outline="0" fieldPosition="0" dataOnly="0" labelOnly="1">
        <references count="2">
          <reference field="0" count="1">
            <x v="4"/>
          </reference>
          <reference field="6" count="1">
            <x v="68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6" count="1">
            <x v="68"/>
          </reference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6" count="0"/>
        </references>
      </pivotArea>
    </format>
    <format dxfId="2">
      <pivotArea outline="0" fieldPosition="0" dataOnly="0" labelOnly="1">
        <references count="2">
          <reference field="0" count="1">
            <x v="7"/>
          </reference>
          <reference field="6" count="1">
            <x v="68"/>
          </reference>
        </references>
      </pivotArea>
    </format>
    <format dxfId="1">
      <pivotArea outline="0" fieldPosition="0" dataOnly="0" labelOnly="1">
        <references count="2">
          <reference field="0" count="1">
            <x v="8"/>
          </reference>
          <reference field="6" count="1">
            <x v="68"/>
          </reference>
        </references>
      </pivotArea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view="pageBreakPreview" zoomScale="130" zoomScaleSheetLayoutView="130" workbookViewId="0" topLeftCell="A1">
      <selection activeCell="D3" sqref="D3"/>
    </sheetView>
  </sheetViews>
  <sheetFormatPr defaultColWidth="10.5" defaultRowHeight="12" customHeight="1"/>
  <cols>
    <col min="1" max="1" width="11.66015625" style="2" customWidth="1"/>
    <col min="2" max="2" width="50" style="2" customWidth="1"/>
    <col min="3" max="8" width="18.16015625" style="2" customWidth="1"/>
    <col min="9" max="9" width="10.5" style="1" customWidth="1"/>
    <col min="10" max="10" width="27.16015625" style="1" customWidth="1"/>
    <col min="11" max="16384" width="10.5" style="1" customWidth="1"/>
  </cols>
  <sheetData>
    <row r="1" spans="1:8" s="2" customFormat="1" ht="22.5" customHeight="1">
      <c r="A1" s="3" t="s">
        <v>468</v>
      </c>
      <c r="B1" s="4"/>
      <c r="C1" s="4"/>
      <c r="D1" s="4"/>
      <c r="E1" s="4"/>
      <c r="F1" s="4"/>
      <c r="G1" s="4"/>
      <c r="H1" s="4"/>
    </row>
    <row r="2" spans="1:8" s="2" customFormat="1" ht="7.5" customHeight="1">
      <c r="A2" s="5"/>
      <c r="B2" s="4"/>
      <c r="C2" s="4"/>
      <c r="D2" s="4"/>
      <c r="E2" s="4"/>
      <c r="F2" s="4"/>
      <c r="G2" s="4"/>
      <c r="H2" s="4"/>
    </row>
    <row r="3" spans="1:9" s="2" customFormat="1" ht="12.75" customHeight="1">
      <c r="A3" s="6" t="s">
        <v>0</v>
      </c>
      <c r="B3" s="7" t="s">
        <v>466</v>
      </c>
      <c r="C3" s="5" t="s">
        <v>1</v>
      </c>
      <c r="D3" s="410"/>
      <c r="E3" s="5"/>
      <c r="F3" s="5"/>
      <c r="G3" s="5"/>
      <c r="H3" s="5"/>
      <c r="I3" s="408"/>
    </row>
    <row r="4" spans="1:9" s="2" customFormat="1" ht="12.75" customHeight="1">
      <c r="A4" s="5" t="s">
        <v>2</v>
      </c>
      <c r="B4" s="8" t="s">
        <v>307</v>
      </c>
      <c r="C4" s="5" t="s">
        <v>3</v>
      </c>
      <c r="D4" s="326"/>
      <c r="E4" s="5"/>
      <c r="F4" s="5"/>
      <c r="G4" s="5"/>
      <c r="H4" s="5"/>
      <c r="I4" s="408"/>
    </row>
    <row r="5" spans="1:9" s="2" customFormat="1" ht="13.5" customHeight="1">
      <c r="A5" s="5" t="s">
        <v>4</v>
      </c>
      <c r="B5" s="326"/>
      <c r="C5" s="5" t="s">
        <v>5</v>
      </c>
      <c r="D5" s="326"/>
      <c r="E5" s="5"/>
      <c r="F5" s="5"/>
      <c r="G5" s="5"/>
      <c r="H5" s="5"/>
      <c r="I5" s="408"/>
    </row>
    <row r="6" spans="1:8" s="2" customFormat="1" ht="6.75" customHeight="1">
      <c r="A6" s="5"/>
      <c r="B6" s="4"/>
      <c r="C6" s="4"/>
      <c r="D6" s="4"/>
      <c r="E6" s="4"/>
      <c r="F6" s="4"/>
      <c r="G6" s="4"/>
      <c r="H6" s="4"/>
    </row>
    <row r="7" spans="1:8" s="2" customFormat="1" ht="23.25" customHeight="1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12</v>
      </c>
      <c r="G7" s="9" t="s">
        <v>14</v>
      </c>
      <c r="H7" s="10" t="s">
        <v>19</v>
      </c>
    </row>
    <row r="8" spans="1:8" s="2" customFormat="1" ht="6.75" customHeight="1">
      <c r="A8" s="5"/>
      <c r="B8" s="4"/>
      <c r="C8" s="4"/>
      <c r="D8" s="4"/>
      <c r="E8" s="4"/>
      <c r="F8" s="4"/>
      <c r="G8" s="4"/>
      <c r="H8" s="4"/>
    </row>
    <row r="9" spans="1:14" s="2" customFormat="1" ht="24.75" customHeight="1">
      <c r="A9" s="433" t="s">
        <v>52</v>
      </c>
      <c r="B9" s="430" t="s">
        <v>20</v>
      </c>
      <c r="C9" s="118">
        <f>'Sanační část Krycí list'!R47</f>
        <v>0</v>
      </c>
      <c r="D9" s="118">
        <f>'Sanační část Krycí list'!R49</f>
        <v>0</v>
      </c>
      <c r="E9" s="118">
        <f>'Sanační část Krycí list'!R50</f>
        <v>0</v>
      </c>
      <c r="F9" s="118">
        <f>'Sanační část Krycí list'!E44</f>
        <v>0</v>
      </c>
      <c r="G9" s="118">
        <f>'Sanační část Krycí list'!R44</f>
        <v>0</v>
      </c>
      <c r="H9" s="119"/>
      <c r="I9" s="296"/>
      <c r="N9" s="301"/>
    </row>
    <row r="10" spans="1:14" s="2" customFormat="1" ht="11.25">
      <c r="A10" s="434"/>
      <c r="B10" s="431"/>
      <c r="C10" s="122">
        <f aca="true" t="shared" si="0" ref="C10:C16">F10+G10</f>
        <v>0</v>
      </c>
      <c r="D10" s="122">
        <f aca="true" t="shared" si="1" ref="D10:D16">C10*0.21</f>
        <v>0</v>
      </c>
      <c r="E10" s="122">
        <f aca="true" t="shared" si="2" ref="E10:E16">C10+D10</f>
        <v>0</v>
      </c>
      <c r="F10" s="122">
        <f>GETPIVOTDATA("Součet z Celkem",Pomocna!$A$1,"CPV","45232451-8")</f>
        <v>0</v>
      </c>
      <c r="G10" s="122">
        <f aca="true" t="shared" si="3" ref="G10:G16">F10*0.043</f>
        <v>0</v>
      </c>
      <c r="H10" s="416" t="s">
        <v>367</v>
      </c>
      <c r="I10" s="296"/>
      <c r="J10" s="390"/>
      <c r="N10" s="301"/>
    </row>
    <row r="11" spans="1:14" s="2" customFormat="1" ht="11.25">
      <c r="A11" s="434"/>
      <c r="B11" s="431"/>
      <c r="C11" s="122">
        <f t="shared" si="0"/>
        <v>0</v>
      </c>
      <c r="D11" s="122">
        <f t="shared" si="1"/>
        <v>0</v>
      </c>
      <c r="E11" s="122">
        <f t="shared" si="2"/>
        <v>0</v>
      </c>
      <c r="F11" s="122">
        <f>GETPIVOTDATA("Součet z Celkem",Pomocna!$A$1,"CPV","45252000-8")</f>
        <v>0</v>
      </c>
      <c r="G11" s="122">
        <f t="shared" si="3"/>
        <v>0</v>
      </c>
      <c r="H11" s="416" t="s">
        <v>373</v>
      </c>
      <c r="I11" s="296"/>
      <c r="J11" s="390"/>
      <c r="N11" s="301"/>
    </row>
    <row r="12" spans="1:14" s="2" customFormat="1" ht="11.25">
      <c r="A12" s="434"/>
      <c r="B12" s="431"/>
      <c r="C12" s="122">
        <f>F12+G12</f>
        <v>0</v>
      </c>
      <c r="D12" s="122">
        <f>C12*0.21</f>
        <v>0</v>
      </c>
      <c r="E12" s="122">
        <f>C12+D12</f>
        <v>0</v>
      </c>
      <c r="F12" s="122">
        <f>GETPIVOTDATA("Součet z Celkem",Pomocna!$A$1,"CPV","90114100-0")</f>
        <v>0</v>
      </c>
      <c r="G12" s="122">
        <f>F12*0.043</f>
        <v>0</v>
      </c>
      <c r="H12" s="416" t="s">
        <v>469</v>
      </c>
      <c r="I12" s="296"/>
      <c r="J12" s="390"/>
      <c r="N12" s="301"/>
    </row>
    <row r="13" spans="1:14" s="2" customFormat="1" ht="11.25">
      <c r="A13" s="434"/>
      <c r="B13" s="431"/>
      <c r="C13" s="122">
        <f t="shared" si="0"/>
        <v>0</v>
      </c>
      <c r="D13" s="122">
        <f t="shared" si="1"/>
        <v>0</v>
      </c>
      <c r="E13" s="122">
        <f t="shared" si="2"/>
        <v>0</v>
      </c>
      <c r="F13" s="122">
        <f>GETPIVOTDATA("Součet z Celkem",Pomocna!$A$1,"CPV","90122120-5")</f>
        <v>0</v>
      </c>
      <c r="G13" s="122">
        <f t="shared" si="3"/>
        <v>0</v>
      </c>
      <c r="H13" s="416" t="s">
        <v>470</v>
      </c>
      <c r="I13" s="296"/>
      <c r="J13" s="390"/>
      <c r="N13" s="301"/>
    </row>
    <row r="14" spans="1:14" s="2" customFormat="1" ht="11.25">
      <c r="A14" s="434"/>
      <c r="B14" s="431"/>
      <c r="C14" s="122">
        <f t="shared" si="0"/>
        <v>0</v>
      </c>
      <c r="D14" s="122">
        <f t="shared" si="1"/>
        <v>0</v>
      </c>
      <c r="E14" s="122">
        <f t="shared" si="2"/>
        <v>0</v>
      </c>
      <c r="F14" s="122">
        <f>GETPIVOTDATA("Součet z Celkem",Pomocna!$A$1,"CPV","90313000-4")</f>
        <v>0</v>
      </c>
      <c r="G14" s="122">
        <f t="shared" si="3"/>
        <v>0</v>
      </c>
      <c r="H14" s="416" t="s">
        <v>471</v>
      </c>
      <c r="I14" s="296"/>
      <c r="J14" s="390"/>
      <c r="N14" s="301"/>
    </row>
    <row r="15" spans="1:14" s="2" customFormat="1" ht="11.25">
      <c r="A15" s="434"/>
      <c r="B15" s="431"/>
      <c r="C15" s="122">
        <f t="shared" si="0"/>
        <v>0</v>
      </c>
      <c r="D15" s="122">
        <f t="shared" si="1"/>
        <v>0</v>
      </c>
      <c r="E15" s="122">
        <f t="shared" si="2"/>
        <v>0</v>
      </c>
      <c r="F15" s="122">
        <f>GETPIVOTDATA("Součet z Celkem",Pomocna!$A$1,"CPV","90522200-4")</f>
        <v>0</v>
      </c>
      <c r="G15" s="122">
        <f t="shared" si="3"/>
        <v>0</v>
      </c>
      <c r="H15" s="416" t="s">
        <v>462</v>
      </c>
      <c r="I15" s="296"/>
      <c r="J15" s="390"/>
      <c r="N15" s="301"/>
    </row>
    <row r="16" spans="1:14" s="2" customFormat="1" ht="11.25">
      <c r="A16" s="435"/>
      <c r="B16" s="432"/>
      <c r="C16" s="122">
        <f t="shared" si="0"/>
        <v>0</v>
      </c>
      <c r="D16" s="122">
        <f t="shared" si="1"/>
        <v>0</v>
      </c>
      <c r="E16" s="122">
        <f t="shared" si="2"/>
        <v>0</v>
      </c>
      <c r="F16" s="122">
        <f>GETPIVOTDATA("Součet z Celkem",Pomocna!$A$1,"CPV","90522100-3")</f>
        <v>0</v>
      </c>
      <c r="G16" s="122">
        <f t="shared" si="3"/>
        <v>0</v>
      </c>
      <c r="H16" s="416" t="s">
        <v>463</v>
      </c>
      <c r="I16" s="296"/>
      <c r="J16" s="390"/>
      <c r="N16" s="301"/>
    </row>
    <row r="17" spans="1:14" s="2" customFormat="1" ht="24.75" customHeight="1">
      <c r="A17" s="128" t="s">
        <v>54</v>
      </c>
      <c r="B17" s="120" t="s">
        <v>21</v>
      </c>
      <c r="C17" s="118">
        <f>SUM(C18:C19)</f>
        <v>0</v>
      </c>
      <c r="D17" s="118">
        <f>SUM(D18:D19)</f>
        <v>0</v>
      </c>
      <c r="E17" s="118">
        <f>SUM(E18:E19)</f>
        <v>0</v>
      </c>
      <c r="F17" s="118">
        <f>SUM(F18:F19)</f>
        <v>0</v>
      </c>
      <c r="G17" s="118">
        <f>SUM(G18:G19)</f>
        <v>0</v>
      </c>
      <c r="H17" s="416" t="s">
        <v>472</v>
      </c>
      <c r="I17" s="296"/>
      <c r="N17" s="302"/>
    </row>
    <row r="18" spans="1:14" s="2" customFormat="1" ht="24.75" customHeight="1">
      <c r="A18" s="127" t="s">
        <v>16</v>
      </c>
      <c r="B18" s="121" t="s">
        <v>441</v>
      </c>
      <c r="C18" s="122">
        <f>'SO01 Krycí list'!R47</f>
        <v>0</v>
      </c>
      <c r="D18" s="122">
        <f>'SO01 Krycí list'!R49</f>
        <v>0</v>
      </c>
      <c r="E18" s="122">
        <f>'SO01 Krycí list'!R50</f>
        <v>0</v>
      </c>
      <c r="F18" s="122">
        <f>'SO01 Krycí list'!E44</f>
        <v>0</v>
      </c>
      <c r="G18" s="122">
        <f>'SO01 Krycí list'!R44</f>
        <v>0</v>
      </c>
      <c r="H18" s="123"/>
      <c r="I18" s="296"/>
      <c r="N18" s="301"/>
    </row>
    <row r="19" spans="1:14" s="2" customFormat="1" ht="24.75" customHeight="1">
      <c r="A19" s="127" t="s">
        <v>17</v>
      </c>
      <c r="B19" s="121" t="s">
        <v>442</v>
      </c>
      <c r="C19" s="122">
        <f>'SO02 Krycí list'!R47</f>
        <v>0</v>
      </c>
      <c r="D19" s="122">
        <f>'SO02 Krycí list'!R49</f>
        <v>0</v>
      </c>
      <c r="E19" s="122">
        <f>'SO02 Krycí list'!R50</f>
        <v>0</v>
      </c>
      <c r="F19" s="122">
        <f>'SO02 Krycí list'!E44</f>
        <v>0</v>
      </c>
      <c r="G19" s="122">
        <f>'SO02 Krycí list'!R44</f>
        <v>0</v>
      </c>
      <c r="H19" s="123"/>
      <c r="I19" s="296"/>
      <c r="N19" s="301"/>
    </row>
    <row r="20" spans="1:14" s="2" customFormat="1" ht="24.75" customHeight="1">
      <c r="A20" s="124"/>
      <c r="B20" s="307" t="s">
        <v>461</v>
      </c>
      <c r="C20" s="125">
        <f>C9+C17</f>
        <v>0</v>
      </c>
      <c r="D20" s="125">
        <f>D9+D17</f>
        <v>0</v>
      </c>
      <c r="E20" s="125">
        <f>E9+E17</f>
        <v>0</v>
      </c>
      <c r="F20" s="125">
        <f>F9+F17</f>
        <v>0</v>
      </c>
      <c r="G20" s="125">
        <f>G9+G17</f>
        <v>0</v>
      </c>
      <c r="H20" s="126"/>
      <c r="I20" s="296"/>
      <c r="N20" s="301"/>
    </row>
  </sheetData>
  <sheetProtection password="EF31" sheet="1" objects="1" scenarios="1" selectLockedCells="1"/>
  <mergeCells count="2">
    <mergeCell ref="B9:B16"/>
    <mergeCell ref="A9:A16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103" r:id="rId3"/>
  <headerFooter alignWithMargins="0">
    <oddFooter>&amp;C   Strana &amp;P  z &amp;N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50" r:id="rId4" name="Button 2">
              <controlPr defaultSize="0" print="0" autoFill="0" autoPict="0" macro="[0]!Prepocet_tabulky">
                <anchor moveWithCells="1" sizeWithCells="1">
                  <from>
                    <xdr:col>8</xdr:col>
                    <xdr:colOff>514350</xdr:colOff>
                    <xdr:row>7</xdr:row>
                    <xdr:rowOff>47625</xdr:rowOff>
                  </from>
                  <to>
                    <xdr:col>10</xdr:col>
                    <xdr:colOff>142875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view="pageBreakPreview" zoomScale="120" zoomScaleSheetLayoutView="120" workbookViewId="0" topLeftCell="A2">
      <selection activeCell="G27" sqref="G27"/>
    </sheetView>
  </sheetViews>
  <sheetFormatPr defaultColWidth="9.33203125" defaultRowHeight="12.75" customHeight="1"/>
  <cols>
    <col min="1" max="1" width="2.83203125" style="14" customWidth="1"/>
    <col min="2" max="2" width="2.16015625" style="14" customWidth="1"/>
    <col min="3" max="3" width="3.16015625" style="14" customWidth="1"/>
    <col min="4" max="4" width="8" style="14" customWidth="1"/>
    <col min="5" max="5" width="15.83203125" style="14" customWidth="1"/>
    <col min="6" max="6" width="0.65625" style="14" customWidth="1"/>
    <col min="7" max="7" width="3" style="14" customWidth="1"/>
    <col min="8" max="8" width="3.16015625" style="14" customWidth="1"/>
    <col min="9" max="9" width="11.33203125" style="14" customWidth="1"/>
    <col min="10" max="10" width="15.83203125" style="14" customWidth="1"/>
    <col min="11" max="11" width="0.82421875" style="14" customWidth="1"/>
    <col min="12" max="12" width="2.83203125" style="14" customWidth="1"/>
    <col min="13" max="13" width="3.33203125" style="14" customWidth="1"/>
    <col min="14" max="14" width="2.33203125" style="14" customWidth="1"/>
    <col min="15" max="15" width="14.83203125" style="14" customWidth="1"/>
    <col min="16" max="16" width="3.33203125" style="14" customWidth="1"/>
    <col min="17" max="17" width="2.33203125" style="14" customWidth="1"/>
    <col min="18" max="18" width="15.83203125" style="14" customWidth="1"/>
    <col min="19" max="19" width="0.65625" style="14" customWidth="1"/>
    <col min="20" max="16384" width="9.33203125" style="14" customWidth="1"/>
  </cols>
  <sheetData>
    <row r="1" spans="1:19" ht="12" customHeight="1" hidden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23.25" customHeight="1">
      <c r="A2" s="11"/>
      <c r="B2" s="12"/>
      <c r="C2" s="12"/>
      <c r="D2" s="12"/>
      <c r="E2" s="12"/>
      <c r="F2" s="12"/>
      <c r="G2" s="15" t="s">
        <v>22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19" ht="12" customHeight="1" hidden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8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4" customHeight="1">
      <c r="A5" s="22"/>
      <c r="B5" s="23" t="s">
        <v>23</v>
      </c>
      <c r="C5" s="23"/>
      <c r="D5" s="23"/>
      <c r="E5" s="436" t="s">
        <v>466</v>
      </c>
      <c r="F5" s="437"/>
      <c r="G5" s="437"/>
      <c r="H5" s="437"/>
      <c r="I5" s="437"/>
      <c r="J5" s="438"/>
      <c r="K5" s="23"/>
      <c r="L5" s="23"/>
      <c r="M5" s="23"/>
      <c r="N5" s="23"/>
      <c r="O5" s="23" t="s">
        <v>24</v>
      </c>
      <c r="P5" s="24" t="s">
        <v>25</v>
      </c>
      <c r="Q5" s="25"/>
      <c r="R5" s="456" t="s">
        <v>473</v>
      </c>
      <c r="S5" s="27"/>
    </row>
    <row r="6" spans="1:19" ht="17.25" customHeight="1" hidden="1">
      <c r="A6" s="22"/>
      <c r="B6" s="23" t="s">
        <v>26</v>
      </c>
      <c r="C6" s="23"/>
      <c r="D6" s="23"/>
      <c r="E6" s="412" t="s">
        <v>15</v>
      </c>
      <c r="F6" s="23"/>
      <c r="G6" s="23"/>
      <c r="H6" s="23"/>
      <c r="I6" s="23"/>
      <c r="J6" s="28"/>
      <c r="K6" s="23"/>
      <c r="L6" s="23"/>
      <c r="M6" s="23"/>
      <c r="N6" s="23"/>
      <c r="O6" s="23"/>
      <c r="P6" s="29"/>
      <c r="Q6" s="30"/>
      <c r="R6" s="457"/>
      <c r="S6" s="27"/>
    </row>
    <row r="7" spans="1:19" ht="24" customHeight="1">
      <c r="A7" s="22"/>
      <c r="B7" s="23" t="s">
        <v>27</v>
      </c>
      <c r="C7" s="23"/>
      <c r="D7" s="23"/>
      <c r="E7" s="439"/>
      <c r="F7" s="440"/>
      <c r="G7" s="440"/>
      <c r="H7" s="440"/>
      <c r="I7" s="440"/>
      <c r="J7" s="441"/>
      <c r="K7" s="23"/>
      <c r="L7" s="23"/>
      <c r="M7" s="23"/>
      <c r="N7" s="23"/>
      <c r="O7" s="320" t="s">
        <v>19</v>
      </c>
      <c r="P7" s="31"/>
      <c r="Q7" s="30"/>
      <c r="R7" s="457"/>
      <c r="S7" s="27"/>
    </row>
    <row r="8" spans="1:19" ht="17.25" customHeight="1" hidden="1">
      <c r="A8" s="22"/>
      <c r="B8" s="23" t="s">
        <v>29</v>
      </c>
      <c r="C8" s="23"/>
      <c r="D8" s="23"/>
      <c r="E8" s="412" t="s">
        <v>16</v>
      </c>
      <c r="F8" s="23"/>
      <c r="G8" s="23"/>
      <c r="H8" s="23"/>
      <c r="I8" s="23"/>
      <c r="J8" s="28"/>
      <c r="K8" s="23"/>
      <c r="L8" s="23"/>
      <c r="M8" s="23"/>
      <c r="N8" s="23"/>
      <c r="O8" s="23"/>
      <c r="P8" s="29"/>
      <c r="Q8" s="30"/>
      <c r="R8" s="457"/>
      <c r="S8" s="27"/>
    </row>
    <row r="9" spans="1:19" ht="24" customHeight="1">
      <c r="A9" s="22"/>
      <c r="B9" s="23" t="s">
        <v>30</v>
      </c>
      <c r="C9" s="23"/>
      <c r="D9" s="23"/>
      <c r="E9" s="442" t="s">
        <v>20</v>
      </c>
      <c r="F9" s="443"/>
      <c r="G9" s="443"/>
      <c r="H9" s="443"/>
      <c r="I9" s="443"/>
      <c r="J9" s="444"/>
      <c r="K9" s="23"/>
      <c r="L9" s="23"/>
      <c r="M9" s="23"/>
      <c r="N9" s="23"/>
      <c r="O9" s="23" t="s">
        <v>31</v>
      </c>
      <c r="P9" s="321"/>
      <c r="Q9" s="322"/>
      <c r="R9" s="458"/>
      <c r="S9" s="27"/>
    </row>
    <row r="10" spans="1:19" ht="17.25" customHeight="1" hidden="1">
      <c r="A10" s="22"/>
      <c r="B10" s="23" t="s">
        <v>32</v>
      </c>
      <c r="C10" s="23"/>
      <c r="D10" s="23"/>
      <c r="E10" s="32" t="s">
        <v>25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0"/>
      <c r="Q10" s="30"/>
      <c r="R10" s="23"/>
      <c r="S10" s="27"/>
    </row>
    <row r="11" spans="1:19" ht="17.25" customHeight="1" hidden="1">
      <c r="A11" s="22"/>
      <c r="B11" s="23" t="s">
        <v>33</v>
      </c>
      <c r="C11" s="23"/>
      <c r="D11" s="23"/>
      <c r="E11" s="32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0"/>
      <c r="Q11" s="30"/>
      <c r="R11" s="23"/>
      <c r="S11" s="27"/>
    </row>
    <row r="12" spans="1:19" ht="17.25" customHeight="1" hidden="1">
      <c r="A12" s="22"/>
      <c r="B12" s="23" t="s">
        <v>34</v>
      </c>
      <c r="C12" s="23"/>
      <c r="D12" s="23"/>
      <c r="E12" s="32" t="s">
        <v>25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0"/>
      <c r="Q12" s="30"/>
      <c r="R12" s="23"/>
      <c r="S12" s="27"/>
    </row>
    <row r="13" spans="1:19" ht="17.25" customHeight="1" hidden="1">
      <c r="A13" s="22"/>
      <c r="B13" s="23"/>
      <c r="C13" s="23"/>
      <c r="D13" s="23"/>
      <c r="E13" s="32" t="s">
        <v>25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0"/>
      <c r="Q13" s="30"/>
      <c r="R13" s="23"/>
      <c r="S13" s="27"/>
    </row>
    <row r="14" spans="1:19" ht="17.25" customHeight="1" hidden="1">
      <c r="A14" s="22"/>
      <c r="B14" s="23"/>
      <c r="C14" s="23"/>
      <c r="D14" s="23"/>
      <c r="E14" s="32" t="s">
        <v>25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0"/>
      <c r="Q14" s="30"/>
      <c r="R14" s="23"/>
      <c r="S14" s="27"/>
    </row>
    <row r="15" spans="1:19" ht="17.25" customHeight="1" hidden="1">
      <c r="A15" s="22"/>
      <c r="B15" s="23"/>
      <c r="C15" s="23"/>
      <c r="D15" s="23"/>
      <c r="E15" s="32" t="s">
        <v>25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0"/>
      <c r="Q15" s="30"/>
      <c r="R15" s="23"/>
      <c r="S15" s="27"/>
    </row>
    <row r="16" spans="1:19" ht="17.25" customHeight="1" hidden="1">
      <c r="A16" s="22"/>
      <c r="B16" s="23"/>
      <c r="C16" s="23"/>
      <c r="D16" s="23"/>
      <c r="E16" s="32" t="s">
        <v>25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0"/>
      <c r="Q16" s="30"/>
      <c r="R16" s="23"/>
      <c r="S16" s="27"/>
    </row>
    <row r="17" spans="1:19" ht="17.25" customHeight="1" hidden="1">
      <c r="A17" s="22"/>
      <c r="B17" s="23"/>
      <c r="C17" s="23"/>
      <c r="D17" s="23"/>
      <c r="E17" s="32" t="s">
        <v>25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0"/>
      <c r="Q17" s="30"/>
      <c r="R17" s="23"/>
      <c r="S17" s="27"/>
    </row>
    <row r="18" spans="1:19" ht="17.25" customHeight="1" hidden="1">
      <c r="A18" s="22"/>
      <c r="B18" s="23"/>
      <c r="C18" s="23"/>
      <c r="D18" s="23"/>
      <c r="E18" s="32" t="s">
        <v>25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0"/>
      <c r="Q18" s="30"/>
      <c r="R18" s="23"/>
      <c r="S18" s="27"/>
    </row>
    <row r="19" spans="1:19" ht="17.25" customHeight="1" hidden="1">
      <c r="A19" s="22"/>
      <c r="B19" s="23"/>
      <c r="C19" s="23"/>
      <c r="D19" s="23"/>
      <c r="E19" s="32" t="s">
        <v>25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0"/>
      <c r="Q19" s="30"/>
      <c r="R19" s="23"/>
      <c r="S19" s="27"/>
    </row>
    <row r="20" spans="1:19" ht="17.25" customHeight="1" hidden="1">
      <c r="A20" s="22"/>
      <c r="B20" s="23"/>
      <c r="C20" s="23"/>
      <c r="D20" s="23"/>
      <c r="E20" s="32" t="s">
        <v>25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0"/>
      <c r="Q20" s="30"/>
      <c r="R20" s="23"/>
      <c r="S20" s="27"/>
    </row>
    <row r="21" spans="1:19" ht="17.25" customHeight="1" hidden="1">
      <c r="A21" s="22"/>
      <c r="B21" s="23"/>
      <c r="C21" s="23"/>
      <c r="D21" s="23"/>
      <c r="E21" s="32" t="s">
        <v>25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0"/>
      <c r="Q21" s="30"/>
      <c r="R21" s="23"/>
      <c r="S21" s="27"/>
    </row>
    <row r="22" spans="1:19" ht="17.25" customHeight="1" hidden="1">
      <c r="A22" s="22"/>
      <c r="B22" s="23"/>
      <c r="C22" s="23"/>
      <c r="D22" s="23"/>
      <c r="E22" s="32" t="s">
        <v>25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0"/>
      <c r="Q22" s="30"/>
      <c r="R22" s="23"/>
      <c r="S22" s="27"/>
    </row>
    <row r="23" spans="1:19" ht="17.25" customHeight="1" hidden="1">
      <c r="A23" s="22"/>
      <c r="B23" s="23"/>
      <c r="C23" s="23"/>
      <c r="D23" s="23"/>
      <c r="E23" s="32" t="s">
        <v>25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0"/>
      <c r="Q23" s="30"/>
      <c r="R23" s="23"/>
      <c r="S23" s="27"/>
    </row>
    <row r="24" spans="1:19" ht="17.25" customHeight="1" hidden="1">
      <c r="A24" s="22"/>
      <c r="B24" s="23"/>
      <c r="C24" s="23"/>
      <c r="D24" s="23"/>
      <c r="E24" s="33" t="s">
        <v>25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0"/>
      <c r="Q24" s="30"/>
      <c r="R24" s="23"/>
      <c r="S24" s="27"/>
    </row>
    <row r="25" spans="1:19" ht="17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 t="s">
        <v>35</v>
      </c>
      <c r="P25" s="23" t="s">
        <v>36</v>
      </c>
      <c r="Q25" s="23"/>
      <c r="R25" s="23"/>
      <c r="S25" s="27"/>
    </row>
    <row r="26" spans="1:19" ht="17.25" customHeight="1">
      <c r="A26" s="22"/>
      <c r="B26" s="23" t="s">
        <v>37</v>
      </c>
      <c r="C26" s="23"/>
      <c r="D26" s="23"/>
      <c r="E26" s="24" t="str">
        <f>'[1]Rekapitulace'!B4</f>
        <v>Ministerstvo financí ČR</v>
      </c>
      <c r="F26" s="34"/>
      <c r="G26" s="34"/>
      <c r="H26" s="34"/>
      <c r="I26" s="34"/>
      <c r="J26" s="26"/>
      <c r="K26" s="23"/>
      <c r="L26" s="23"/>
      <c r="M26" s="23"/>
      <c r="N26" s="23"/>
      <c r="O26" s="328"/>
      <c r="P26" s="329"/>
      <c r="Q26" s="330"/>
      <c r="R26" s="331"/>
      <c r="S26" s="27"/>
    </row>
    <row r="27" spans="1:19" ht="17.25" customHeight="1">
      <c r="A27" s="22"/>
      <c r="B27" s="23" t="s">
        <v>38</v>
      </c>
      <c r="C27" s="23"/>
      <c r="D27" s="23"/>
      <c r="E27" s="332"/>
      <c r="F27" s="327"/>
      <c r="G27" s="327"/>
      <c r="H27" s="327"/>
      <c r="I27" s="327"/>
      <c r="J27" s="333"/>
      <c r="K27" s="23"/>
      <c r="L27" s="23"/>
      <c r="M27" s="23"/>
      <c r="N27" s="23"/>
      <c r="O27" s="328"/>
      <c r="P27" s="329"/>
      <c r="Q27" s="330"/>
      <c r="R27" s="331"/>
      <c r="S27" s="27"/>
    </row>
    <row r="28" spans="1:19" ht="17.25" customHeight="1">
      <c r="A28" s="22"/>
      <c r="B28" s="23" t="s">
        <v>39</v>
      </c>
      <c r="C28" s="23"/>
      <c r="D28" s="23"/>
      <c r="E28" s="332" t="s">
        <v>25</v>
      </c>
      <c r="F28" s="327"/>
      <c r="G28" s="327"/>
      <c r="H28" s="327"/>
      <c r="I28" s="327"/>
      <c r="J28" s="333"/>
      <c r="K28" s="23"/>
      <c r="L28" s="23"/>
      <c r="M28" s="23"/>
      <c r="N28" s="23"/>
      <c r="O28" s="328"/>
      <c r="P28" s="329"/>
      <c r="Q28" s="330"/>
      <c r="R28" s="331"/>
      <c r="S28" s="27"/>
    </row>
    <row r="29" spans="1:19" ht="17.25" customHeight="1">
      <c r="A29" s="22"/>
      <c r="B29" s="23"/>
      <c r="C29" s="23"/>
      <c r="D29" s="23"/>
      <c r="E29" s="413"/>
      <c r="F29" s="37"/>
      <c r="G29" s="37"/>
      <c r="H29" s="37"/>
      <c r="I29" s="37"/>
      <c r="J29" s="38"/>
      <c r="K29" s="23"/>
      <c r="L29" s="23"/>
      <c r="M29" s="23"/>
      <c r="N29" s="23"/>
      <c r="O29" s="30"/>
      <c r="P29" s="30"/>
      <c r="Q29" s="30"/>
      <c r="R29" s="23"/>
      <c r="S29" s="27"/>
    </row>
    <row r="30" spans="1:19" ht="17.25" customHeight="1">
      <c r="A30" s="22"/>
      <c r="B30" s="23"/>
      <c r="C30" s="23"/>
      <c r="D30" s="23"/>
      <c r="E30" s="418" t="s">
        <v>40</v>
      </c>
      <c r="F30" s="23"/>
      <c r="G30" s="23" t="s">
        <v>41</v>
      </c>
      <c r="H30" s="23"/>
      <c r="I30" s="23"/>
      <c r="J30" s="23"/>
      <c r="K30" s="23"/>
      <c r="L30" s="23"/>
      <c r="M30" s="23"/>
      <c r="N30" s="23"/>
      <c r="O30" s="418" t="s">
        <v>42</v>
      </c>
      <c r="P30" s="30"/>
      <c r="Q30" s="30"/>
      <c r="R30" s="419"/>
      <c r="S30" s="27"/>
    </row>
    <row r="31" spans="1:19" ht="17.25" customHeight="1">
      <c r="A31" s="22"/>
      <c r="B31" s="23"/>
      <c r="C31" s="23"/>
      <c r="D31" s="23"/>
      <c r="E31" s="417"/>
      <c r="F31" s="23"/>
      <c r="G31" s="329"/>
      <c r="H31" s="334"/>
      <c r="I31" s="335"/>
      <c r="J31" s="23"/>
      <c r="K31" s="23"/>
      <c r="L31" s="23"/>
      <c r="M31" s="23"/>
      <c r="N31" s="23"/>
      <c r="O31" s="117"/>
      <c r="P31" s="30"/>
      <c r="Q31" s="30"/>
      <c r="R31" s="420"/>
      <c r="S31" s="27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43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44</v>
      </c>
      <c r="B34" s="48"/>
      <c r="C34" s="48"/>
      <c r="D34" s="49"/>
      <c r="E34" s="50" t="s">
        <v>45</v>
      </c>
      <c r="F34" s="49"/>
      <c r="G34" s="50" t="s">
        <v>46</v>
      </c>
      <c r="H34" s="48"/>
      <c r="I34" s="49"/>
      <c r="J34" s="50" t="s">
        <v>47</v>
      </c>
      <c r="K34" s="48"/>
      <c r="L34" s="50" t="s">
        <v>48</v>
      </c>
      <c r="M34" s="48"/>
      <c r="N34" s="48"/>
      <c r="O34" s="49"/>
      <c r="P34" s="50" t="s">
        <v>49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50</v>
      </c>
      <c r="F36" s="44"/>
      <c r="G36" s="44"/>
      <c r="H36" s="44"/>
      <c r="I36" s="44"/>
      <c r="J36" s="61" t="s">
        <v>51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52</v>
      </c>
      <c r="B37" s="63"/>
      <c r="C37" s="64" t="s">
        <v>53</v>
      </c>
      <c r="D37" s="65"/>
      <c r="E37" s="65"/>
      <c r="F37" s="66"/>
      <c r="G37" s="62" t="s">
        <v>54</v>
      </c>
      <c r="H37" s="67"/>
      <c r="I37" s="64" t="s">
        <v>55</v>
      </c>
      <c r="J37" s="65"/>
      <c r="K37" s="65"/>
      <c r="L37" s="62" t="s">
        <v>56</v>
      </c>
      <c r="M37" s="67"/>
      <c r="N37" s="64" t="s">
        <v>57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58</v>
      </c>
      <c r="C38" s="26"/>
      <c r="D38" s="70" t="s">
        <v>59</v>
      </c>
      <c r="E38" s="71">
        <v>0</v>
      </c>
      <c r="F38" s="72"/>
      <c r="G38" s="68">
        <v>8</v>
      </c>
      <c r="H38" s="73" t="s">
        <v>60</v>
      </c>
      <c r="I38" s="36"/>
      <c r="J38" s="74">
        <v>0</v>
      </c>
      <c r="K38" s="75"/>
      <c r="L38" s="68">
        <v>13</v>
      </c>
      <c r="M38" s="35" t="s">
        <v>61</v>
      </c>
      <c r="N38" s="39"/>
      <c r="O38" s="39"/>
      <c r="P38" s="76">
        <f>M49</f>
        <v>21</v>
      </c>
      <c r="Q38" s="77" t="s">
        <v>62</v>
      </c>
      <c r="R38" s="71">
        <v>0</v>
      </c>
      <c r="S38" s="72"/>
    </row>
    <row r="39" spans="1:19" ht="20.25" customHeight="1">
      <c r="A39" s="68">
        <v>2</v>
      </c>
      <c r="B39" s="78"/>
      <c r="C39" s="38"/>
      <c r="D39" s="70" t="s">
        <v>63</v>
      </c>
      <c r="E39" s="71">
        <v>0</v>
      </c>
      <c r="F39" s="72"/>
      <c r="G39" s="68">
        <v>9</v>
      </c>
      <c r="H39" s="23" t="s">
        <v>64</v>
      </c>
      <c r="I39" s="70"/>
      <c r="J39" s="74">
        <v>0</v>
      </c>
      <c r="K39" s="75"/>
      <c r="L39" s="68">
        <v>14</v>
      </c>
      <c r="M39" s="35" t="s">
        <v>65</v>
      </c>
      <c r="N39" s="39"/>
      <c r="O39" s="39"/>
      <c r="P39" s="76">
        <f>M49</f>
        <v>21</v>
      </c>
      <c r="Q39" s="77" t="s">
        <v>62</v>
      </c>
      <c r="R39" s="71">
        <v>0</v>
      </c>
      <c r="S39" s="72"/>
    </row>
    <row r="40" spans="1:19" ht="20.25" customHeight="1">
      <c r="A40" s="68">
        <v>3</v>
      </c>
      <c r="B40" s="69" t="s">
        <v>66</v>
      </c>
      <c r="C40" s="26"/>
      <c r="D40" s="70" t="s">
        <v>59</v>
      </c>
      <c r="E40" s="71">
        <v>0</v>
      </c>
      <c r="F40" s="72"/>
      <c r="G40" s="68">
        <v>10</v>
      </c>
      <c r="H40" s="73" t="s">
        <v>67</v>
      </c>
      <c r="I40" s="36"/>
      <c r="J40" s="74">
        <v>0</v>
      </c>
      <c r="K40" s="75"/>
      <c r="L40" s="68">
        <v>15</v>
      </c>
      <c r="M40" s="35" t="s">
        <v>68</v>
      </c>
      <c r="N40" s="39"/>
      <c r="O40" s="39"/>
      <c r="P40" s="76">
        <f>M49</f>
        <v>21</v>
      </c>
      <c r="Q40" s="77" t="s">
        <v>62</v>
      </c>
      <c r="R40" s="71">
        <v>0</v>
      </c>
      <c r="S40" s="72"/>
    </row>
    <row r="41" spans="1:19" ht="20.25" customHeight="1">
      <c r="A41" s="68">
        <v>4</v>
      </c>
      <c r="B41" s="78"/>
      <c r="C41" s="38"/>
      <c r="D41" s="70" t="s">
        <v>63</v>
      </c>
      <c r="E41" s="71">
        <v>0</v>
      </c>
      <c r="F41" s="72"/>
      <c r="G41" s="68">
        <v>11</v>
      </c>
      <c r="H41" s="73"/>
      <c r="I41" s="36"/>
      <c r="J41" s="74">
        <v>0</v>
      </c>
      <c r="K41" s="75"/>
      <c r="L41" s="68">
        <v>16</v>
      </c>
      <c r="M41" s="35" t="s">
        <v>69</v>
      </c>
      <c r="N41" s="39"/>
      <c r="O41" s="39"/>
      <c r="P41" s="76">
        <f>M49</f>
        <v>21</v>
      </c>
      <c r="Q41" s="77" t="s">
        <v>62</v>
      </c>
      <c r="R41" s="71">
        <v>0</v>
      </c>
      <c r="S41" s="72"/>
    </row>
    <row r="42" spans="1:19" ht="20.25" customHeight="1">
      <c r="A42" s="68">
        <v>5</v>
      </c>
      <c r="B42" s="69" t="s">
        <v>70</v>
      </c>
      <c r="C42" s="26"/>
      <c r="D42" s="70" t="s">
        <v>59</v>
      </c>
      <c r="E42" s="71">
        <v>0</v>
      </c>
      <c r="F42" s="72"/>
      <c r="G42" s="79"/>
      <c r="H42" s="39"/>
      <c r="I42" s="36"/>
      <c r="J42" s="80"/>
      <c r="K42" s="75"/>
      <c r="L42" s="68">
        <v>17</v>
      </c>
      <c r="M42" s="35" t="s">
        <v>11</v>
      </c>
      <c r="N42" s="39"/>
      <c r="O42" s="39"/>
      <c r="P42" s="76">
        <f>M49</f>
        <v>21</v>
      </c>
      <c r="Q42" s="77" t="s">
        <v>62</v>
      </c>
      <c r="R42" s="71">
        <v>0</v>
      </c>
      <c r="S42" s="72"/>
    </row>
    <row r="43" spans="1:19" ht="20.25" customHeight="1">
      <c r="A43" s="68">
        <v>6</v>
      </c>
      <c r="B43" s="78"/>
      <c r="C43" s="38"/>
      <c r="D43" s="70" t="s">
        <v>63</v>
      </c>
      <c r="E43" s="71">
        <v>0</v>
      </c>
      <c r="F43" s="72"/>
      <c r="G43" s="79"/>
      <c r="H43" s="39"/>
      <c r="I43" s="36"/>
      <c r="J43" s="80"/>
      <c r="K43" s="75"/>
      <c r="L43" s="68">
        <v>18</v>
      </c>
      <c r="M43" s="73" t="s">
        <v>71</v>
      </c>
      <c r="N43" s="39"/>
      <c r="O43" s="39"/>
      <c r="P43" s="39"/>
      <c r="Q43" s="36"/>
      <c r="R43" s="71">
        <v>0</v>
      </c>
      <c r="S43" s="72"/>
    </row>
    <row r="44" spans="1:19" ht="20.25" customHeight="1">
      <c r="A44" s="68">
        <v>7</v>
      </c>
      <c r="B44" s="81" t="s">
        <v>72</v>
      </c>
      <c r="C44" s="39"/>
      <c r="D44" s="36"/>
      <c r="E44" s="82">
        <f>'Sanační část Rozpočet'!G76</f>
        <v>0</v>
      </c>
      <c r="F44" s="46"/>
      <c r="G44" s="68">
        <v>12</v>
      </c>
      <c r="H44" s="81" t="s">
        <v>73</v>
      </c>
      <c r="I44" s="36"/>
      <c r="J44" s="83">
        <f>SUM(J38:J41)</f>
        <v>0</v>
      </c>
      <c r="K44" s="84"/>
      <c r="L44" s="68">
        <v>19</v>
      </c>
      <c r="M44" s="69" t="s">
        <v>74</v>
      </c>
      <c r="N44" s="34"/>
      <c r="O44" s="34"/>
      <c r="P44" s="34"/>
      <c r="Q44" s="85"/>
      <c r="R44" s="82">
        <v>0</v>
      </c>
      <c r="S44" s="46"/>
    </row>
    <row r="45" spans="1:19" ht="20.25" customHeight="1">
      <c r="A45" s="86">
        <v>20</v>
      </c>
      <c r="B45" s="87" t="s">
        <v>13</v>
      </c>
      <c r="C45" s="88"/>
      <c r="D45" s="89"/>
      <c r="E45" s="90">
        <v>0</v>
      </c>
      <c r="F45" s="42"/>
      <c r="G45" s="86">
        <v>21</v>
      </c>
      <c r="H45" s="87" t="s">
        <v>75</v>
      </c>
      <c r="I45" s="89"/>
      <c r="J45" s="91">
        <v>0</v>
      </c>
      <c r="K45" s="92">
        <f>M49</f>
        <v>21</v>
      </c>
      <c r="L45" s="86">
        <v>22</v>
      </c>
      <c r="M45" s="87" t="s">
        <v>76</v>
      </c>
      <c r="N45" s="88"/>
      <c r="O45" s="88"/>
      <c r="P45" s="88"/>
      <c r="Q45" s="89"/>
      <c r="R45" s="90">
        <v>0</v>
      </c>
      <c r="S45" s="42"/>
    </row>
    <row r="46" spans="1:19" ht="20.25" customHeight="1">
      <c r="A46" s="93" t="s">
        <v>38</v>
      </c>
      <c r="B46" s="20"/>
      <c r="C46" s="20"/>
      <c r="D46" s="20"/>
      <c r="E46" s="20"/>
      <c r="F46" s="94"/>
      <c r="G46" s="95"/>
      <c r="H46" s="20"/>
      <c r="I46" s="20"/>
      <c r="J46" s="20"/>
      <c r="K46" s="20"/>
      <c r="L46" s="62" t="s">
        <v>77</v>
      </c>
      <c r="M46" s="49"/>
      <c r="N46" s="64" t="s">
        <v>78</v>
      </c>
      <c r="O46" s="48"/>
      <c r="P46" s="48"/>
      <c r="Q46" s="48"/>
      <c r="R46" s="48"/>
      <c r="S46" s="51"/>
    </row>
    <row r="47" spans="1:19" ht="20.25" customHeight="1">
      <c r="A47" s="22"/>
      <c r="B47" s="23"/>
      <c r="C47" s="23"/>
      <c r="D47" s="23"/>
      <c r="E47" s="23"/>
      <c r="F47" s="28"/>
      <c r="G47" s="96"/>
      <c r="H47" s="23"/>
      <c r="I47" s="23"/>
      <c r="J47" s="23"/>
      <c r="K47" s="23"/>
      <c r="L47" s="68">
        <v>23</v>
      </c>
      <c r="M47" s="73" t="s">
        <v>79</v>
      </c>
      <c r="N47" s="39"/>
      <c r="O47" s="39"/>
      <c r="P47" s="39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80</v>
      </c>
      <c r="B48" s="37"/>
      <c r="C48" s="37"/>
      <c r="D48" s="37"/>
      <c r="E48" s="37"/>
      <c r="F48" s="38"/>
      <c r="G48" s="99" t="s">
        <v>81</v>
      </c>
      <c r="H48" s="37"/>
      <c r="I48" s="37"/>
      <c r="J48" s="37"/>
      <c r="K48" s="37"/>
      <c r="L48" s="68">
        <v>24</v>
      </c>
      <c r="M48" s="100">
        <v>15</v>
      </c>
      <c r="N48" s="38" t="s">
        <v>62</v>
      </c>
      <c r="O48" s="101">
        <v>0</v>
      </c>
      <c r="P48" s="39" t="s">
        <v>82</v>
      </c>
      <c r="Q48" s="36"/>
      <c r="R48" s="102">
        <f>ROUNDUP(O48*M48/100,1)</f>
        <v>0</v>
      </c>
      <c r="S48" s="103">
        <f>O48*M48/100</f>
        <v>0</v>
      </c>
    </row>
    <row r="49" spans="1:19" ht="20.25" customHeight="1" thickBot="1">
      <c r="A49" s="104" t="s">
        <v>37</v>
      </c>
      <c r="B49" s="34"/>
      <c r="C49" s="34"/>
      <c r="D49" s="34"/>
      <c r="E49" s="34"/>
      <c r="F49" s="26"/>
      <c r="G49" s="105"/>
      <c r="H49" s="34"/>
      <c r="I49" s="34"/>
      <c r="J49" s="34"/>
      <c r="K49" s="34"/>
      <c r="L49" s="68">
        <v>25</v>
      </c>
      <c r="M49" s="106">
        <v>21</v>
      </c>
      <c r="N49" s="36" t="s">
        <v>62</v>
      </c>
      <c r="O49" s="101">
        <f>R47</f>
        <v>0</v>
      </c>
      <c r="P49" s="39" t="s">
        <v>82</v>
      </c>
      <c r="Q49" s="36"/>
      <c r="R49" s="71">
        <f>ROUNDUP(O49*M49/100,1)</f>
        <v>0</v>
      </c>
      <c r="S49" s="107">
        <f>O49*M49/100</f>
        <v>0</v>
      </c>
    </row>
    <row r="50" spans="1:19" ht="20.25" customHeight="1" thickBot="1">
      <c r="A50" s="22"/>
      <c r="B50" s="23"/>
      <c r="C50" s="23"/>
      <c r="D50" s="23"/>
      <c r="E50" s="23"/>
      <c r="F50" s="28"/>
      <c r="G50" s="96"/>
      <c r="H50" s="23"/>
      <c r="I50" s="23"/>
      <c r="J50" s="23"/>
      <c r="K50" s="23"/>
      <c r="L50" s="86">
        <v>26</v>
      </c>
      <c r="M50" s="108" t="s">
        <v>83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80</v>
      </c>
      <c r="B51" s="37"/>
      <c r="C51" s="37"/>
      <c r="D51" s="37"/>
      <c r="E51" s="37"/>
      <c r="F51" s="38"/>
      <c r="G51" s="99" t="s">
        <v>81</v>
      </c>
      <c r="H51" s="37"/>
      <c r="I51" s="37"/>
      <c r="J51" s="37"/>
      <c r="K51" s="37"/>
      <c r="L51" s="62" t="s">
        <v>84</v>
      </c>
      <c r="M51" s="49"/>
      <c r="N51" s="64" t="s">
        <v>85</v>
      </c>
      <c r="O51" s="48"/>
      <c r="P51" s="48"/>
      <c r="Q51" s="48"/>
      <c r="R51" s="112"/>
      <c r="S51" s="51"/>
    </row>
    <row r="52" spans="1:19" ht="20.25" customHeight="1">
      <c r="A52" s="104" t="s">
        <v>39</v>
      </c>
      <c r="B52" s="34"/>
      <c r="C52" s="34"/>
      <c r="D52" s="34"/>
      <c r="E52" s="34"/>
      <c r="F52" s="26"/>
      <c r="G52" s="105"/>
      <c r="H52" s="34"/>
      <c r="I52" s="34"/>
      <c r="J52" s="34"/>
      <c r="K52" s="34"/>
      <c r="L52" s="68">
        <v>27</v>
      </c>
      <c r="M52" s="73" t="s">
        <v>86</v>
      </c>
      <c r="N52" s="39"/>
      <c r="O52" s="39"/>
      <c r="P52" s="39"/>
      <c r="Q52" s="36"/>
      <c r="R52" s="71">
        <v>0</v>
      </c>
      <c r="S52" s="72"/>
    </row>
    <row r="53" spans="1:19" ht="20.25" customHeight="1">
      <c r="A53" s="22"/>
      <c r="B53" s="23"/>
      <c r="C53" s="23"/>
      <c r="D53" s="23"/>
      <c r="E53" s="23"/>
      <c r="F53" s="28"/>
      <c r="G53" s="96"/>
      <c r="H53" s="23"/>
      <c r="I53" s="23"/>
      <c r="J53" s="23"/>
      <c r="K53" s="23"/>
      <c r="L53" s="68">
        <v>28</v>
      </c>
      <c r="M53" s="73" t="s">
        <v>87</v>
      </c>
      <c r="N53" s="39"/>
      <c r="O53" s="39"/>
      <c r="P53" s="39"/>
      <c r="Q53" s="36"/>
      <c r="R53" s="71">
        <v>0</v>
      </c>
      <c r="S53" s="72"/>
    </row>
    <row r="54" spans="1:19" ht="20.25" customHeight="1">
      <c r="A54" s="113" t="s">
        <v>80</v>
      </c>
      <c r="B54" s="41"/>
      <c r="C54" s="41"/>
      <c r="D54" s="41"/>
      <c r="E54" s="41"/>
      <c r="F54" s="114"/>
      <c r="G54" s="115" t="s">
        <v>81</v>
      </c>
      <c r="H54" s="41"/>
      <c r="I54" s="41"/>
      <c r="J54" s="41"/>
      <c r="K54" s="41"/>
      <c r="L54" s="86">
        <v>29</v>
      </c>
      <c r="M54" s="87" t="s">
        <v>88</v>
      </c>
      <c r="N54" s="88"/>
      <c r="O54" s="88"/>
      <c r="P54" s="88"/>
      <c r="Q54" s="89"/>
      <c r="R54" s="55">
        <v>0</v>
      </c>
      <c r="S54" s="116"/>
    </row>
  </sheetData>
  <sheetProtection password="EF31" sheet="1" objects="1" scenarios="1" selectLockedCells="1"/>
  <mergeCells count="4">
    <mergeCell ref="E5:J5"/>
    <mergeCell ref="E7:J7"/>
    <mergeCell ref="E9:J9"/>
    <mergeCell ref="R5:R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view="pageBreakPreview" zoomScale="130" zoomScaleSheetLayoutView="130" workbookViewId="0" topLeftCell="A4">
      <selection activeCell="F8" sqref="F8"/>
    </sheetView>
  </sheetViews>
  <sheetFormatPr defaultColWidth="9.33203125" defaultRowHeight="10.5"/>
  <cols>
    <col min="1" max="1" width="13.33203125" style="309" customWidth="1"/>
    <col min="2" max="2" width="13.33203125" style="308" hidden="1" customWidth="1"/>
    <col min="3" max="3" width="65.16015625" style="308" bestFit="1" customWidth="1"/>
    <col min="4" max="4" width="12" style="308" customWidth="1"/>
    <col min="5" max="5" width="8.33203125" style="309" customWidth="1"/>
    <col min="6" max="6" width="15.83203125" style="308" customWidth="1"/>
    <col min="7" max="7" width="28" style="308" customWidth="1"/>
    <col min="8" max="8" width="9.33203125" style="308" customWidth="1"/>
    <col min="9" max="9" width="14" style="308" bestFit="1" customWidth="1"/>
    <col min="10" max="16384" width="9.33203125" style="308" customWidth="1"/>
  </cols>
  <sheetData>
    <row r="1" spans="1:7" ht="19.5">
      <c r="A1" s="336"/>
      <c r="B1" s="337"/>
      <c r="C1" s="338" t="s">
        <v>467</v>
      </c>
      <c r="D1" s="337"/>
      <c r="E1" s="337"/>
      <c r="F1" s="339"/>
      <c r="G1" s="340"/>
    </row>
    <row r="2" spans="1:7" ht="12.75">
      <c r="A2" s="341"/>
      <c r="B2" s="342"/>
      <c r="C2" s="343" t="s">
        <v>356</v>
      </c>
      <c r="D2" s="342"/>
      <c r="E2" s="342"/>
      <c r="F2" s="344"/>
      <c r="G2" s="345"/>
    </row>
    <row r="3" spans="1:7" ht="10.5">
      <c r="A3" s="341"/>
      <c r="B3" s="342"/>
      <c r="C3" s="342"/>
      <c r="D3" s="342"/>
      <c r="E3" s="344"/>
      <c r="F3" s="342"/>
      <c r="G3" s="345"/>
    </row>
    <row r="4" spans="1:7" s="310" customFormat="1" ht="21" customHeight="1">
      <c r="A4" s="346" t="s">
        <v>19</v>
      </c>
      <c r="B4" s="347" t="s">
        <v>19</v>
      </c>
      <c r="C4" s="347" t="s">
        <v>357</v>
      </c>
      <c r="D4" s="347" t="s">
        <v>358</v>
      </c>
      <c r="E4" s="347" t="s">
        <v>359</v>
      </c>
      <c r="F4" s="347" t="s">
        <v>360</v>
      </c>
      <c r="G4" s="348" t="s">
        <v>18</v>
      </c>
    </row>
    <row r="5" spans="1:7" s="311" customFormat="1" ht="12.75">
      <c r="A5" s="349"/>
      <c r="B5" s="350"/>
      <c r="C5" s="351" t="s">
        <v>361</v>
      </c>
      <c r="D5" s="350"/>
      <c r="E5" s="352"/>
      <c r="F5" s="350"/>
      <c r="G5" s="353">
        <f>SUM(G6:G8)</f>
        <v>0</v>
      </c>
    </row>
    <row r="6" spans="1:7" ht="10.5">
      <c r="A6" s="361" t="s">
        <v>373</v>
      </c>
      <c r="B6" s="354"/>
      <c r="C6" s="355" t="s">
        <v>444</v>
      </c>
      <c r="D6" s="354" t="s">
        <v>362</v>
      </c>
      <c r="E6" s="354">
        <v>1</v>
      </c>
      <c r="F6" s="409"/>
      <c r="G6" s="356">
        <f>E6*F6</f>
        <v>0</v>
      </c>
    </row>
    <row r="7" spans="1:7" ht="10.5">
      <c r="A7" s="361" t="s">
        <v>462</v>
      </c>
      <c r="B7" s="354" t="s">
        <v>363</v>
      </c>
      <c r="C7" s="355" t="s">
        <v>364</v>
      </c>
      <c r="D7" s="354" t="s">
        <v>208</v>
      </c>
      <c r="E7" s="354">
        <v>2690</v>
      </c>
      <c r="F7" s="323"/>
      <c r="G7" s="356">
        <f>E7*F7</f>
        <v>0</v>
      </c>
    </row>
    <row r="8" spans="1:7" ht="10.5">
      <c r="A8" s="361" t="s">
        <v>463</v>
      </c>
      <c r="B8" s="354" t="s">
        <v>363</v>
      </c>
      <c r="C8" s="357" t="s">
        <v>365</v>
      </c>
      <c r="D8" s="354" t="s">
        <v>208</v>
      </c>
      <c r="E8" s="354">
        <v>2690</v>
      </c>
      <c r="F8" s="323"/>
      <c r="G8" s="356">
        <f>E8*F8</f>
        <v>0</v>
      </c>
    </row>
    <row r="9" spans="1:7" s="311" customFormat="1" ht="12.75">
      <c r="A9" s="349"/>
      <c r="B9" s="350"/>
      <c r="C9" s="351" t="s">
        <v>366</v>
      </c>
      <c r="D9" s="350"/>
      <c r="E9" s="352"/>
      <c r="F9" s="422"/>
      <c r="G9" s="353">
        <f>SUM(G10:G37)</f>
        <v>0</v>
      </c>
    </row>
    <row r="10" spans="1:7" ht="10.5">
      <c r="A10" s="363" t="s">
        <v>469</v>
      </c>
      <c r="B10" s="354" t="s">
        <v>367</v>
      </c>
      <c r="C10" s="355" t="s">
        <v>368</v>
      </c>
      <c r="D10" s="354" t="s">
        <v>362</v>
      </c>
      <c r="E10" s="354">
        <v>1</v>
      </c>
      <c r="F10" s="323"/>
      <c r="G10" s="356">
        <f aca="true" t="shared" si="0" ref="G10:G37">E10*F10</f>
        <v>0</v>
      </c>
    </row>
    <row r="11" spans="1:7" ht="10.5">
      <c r="A11" s="361" t="s">
        <v>367</v>
      </c>
      <c r="B11" s="354" t="s">
        <v>367</v>
      </c>
      <c r="C11" s="355" t="s">
        <v>369</v>
      </c>
      <c r="D11" s="354" t="s">
        <v>235</v>
      </c>
      <c r="E11" s="354">
        <v>6</v>
      </c>
      <c r="F11" s="323"/>
      <c r="G11" s="356">
        <f t="shared" si="0"/>
        <v>0</v>
      </c>
    </row>
    <row r="12" spans="1:7" ht="10.5">
      <c r="A12" s="361" t="s">
        <v>367</v>
      </c>
      <c r="B12" s="354" t="s">
        <v>367</v>
      </c>
      <c r="C12" s="355" t="s">
        <v>370</v>
      </c>
      <c r="D12" s="354" t="s">
        <v>235</v>
      </c>
      <c r="E12" s="354">
        <v>37</v>
      </c>
      <c r="F12" s="323"/>
      <c r="G12" s="356">
        <f>E12*F12</f>
        <v>0</v>
      </c>
    </row>
    <row r="13" spans="1:7" ht="10.5">
      <c r="A13" s="361" t="s">
        <v>367</v>
      </c>
      <c r="B13" s="354" t="s">
        <v>367</v>
      </c>
      <c r="C13" s="355" t="s">
        <v>371</v>
      </c>
      <c r="D13" s="354" t="s">
        <v>235</v>
      </c>
      <c r="E13" s="354">
        <v>2</v>
      </c>
      <c r="F13" s="323"/>
      <c r="G13" s="356">
        <f>E13*F13</f>
        <v>0</v>
      </c>
    </row>
    <row r="14" spans="1:7" ht="10.5">
      <c r="A14" s="358"/>
      <c r="B14" s="354"/>
      <c r="C14" s="359" t="s">
        <v>372</v>
      </c>
      <c r="D14" s="354"/>
      <c r="E14" s="354"/>
      <c r="F14" s="421"/>
      <c r="G14" s="356"/>
    </row>
    <row r="15" spans="1:7" ht="10.5">
      <c r="A15" s="361" t="s">
        <v>373</v>
      </c>
      <c r="B15" s="354" t="s">
        <v>373</v>
      </c>
      <c r="C15" s="360" t="s">
        <v>374</v>
      </c>
      <c r="D15" s="361" t="s">
        <v>235</v>
      </c>
      <c r="E15" s="354">
        <v>2</v>
      </c>
      <c r="F15" s="324"/>
      <c r="G15" s="362">
        <f>E15*F15</f>
        <v>0</v>
      </c>
    </row>
    <row r="16" spans="1:7" ht="10.5">
      <c r="A16" s="361" t="s">
        <v>373</v>
      </c>
      <c r="B16" s="354" t="s">
        <v>373</v>
      </c>
      <c r="C16" s="355" t="s">
        <v>375</v>
      </c>
      <c r="D16" s="354" t="s">
        <v>362</v>
      </c>
      <c r="E16" s="354">
        <v>2</v>
      </c>
      <c r="F16" s="323"/>
      <c r="G16" s="356">
        <f>E16*F16</f>
        <v>0</v>
      </c>
    </row>
    <row r="17" spans="1:7" ht="10.5">
      <c r="A17" s="361" t="s">
        <v>367</v>
      </c>
      <c r="B17" s="354" t="s">
        <v>373</v>
      </c>
      <c r="C17" s="355" t="s">
        <v>376</v>
      </c>
      <c r="D17" s="354" t="s">
        <v>362</v>
      </c>
      <c r="E17" s="354">
        <v>2</v>
      </c>
      <c r="F17" s="323"/>
      <c r="G17" s="356">
        <f>E17*F17</f>
        <v>0</v>
      </c>
    </row>
    <row r="18" spans="1:7" ht="10.5">
      <c r="A18" s="361" t="s">
        <v>367</v>
      </c>
      <c r="B18" s="354" t="s">
        <v>367</v>
      </c>
      <c r="C18" s="355" t="s">
        <v>377</v>
      </c>
      <c r="D18" s="354" t="s">
        <v>241</v>
      </c>
      <c r="E18" s="354">
        <v>120</v>
      </c>
      <c r="F18" s="323"/>
      <c r="G18" s="356">
        <f t="shared" si="0"/>
        <v>0</v>
      </c>
    </row>
    <row r="19" spans="1:7" ht="10.5">
      <c r="A19" s="361" t="s">
        <v>367</v>
      </c>
      <c r="B19" s="354" t="s">
        <v>367</v>
      </c>
      <c r="C19" s="355" t="s">
        <v>378</v>
      </c>
      <c r="D19" s="354" t="s">
        <v>241</v>
      </c>
      <c r="E19" s="354">
        <v>120</v>
      </c>
      <c r="F19" s="323"/>
      <c r="G19" s="356">
        <f t="shared" si="0"/>
        <v>0</v>
      </c>
    </row>
    <row r="20" spans="1:7" ht="10.5">
      <c r="A20" s="361" t="s">
        <v>367</v>
      </c>
      <c r="B20" s="354" t="s">
        <v>373</v>
      </c>
      <c r="C20" s="357" t="s">
        <v>379</v>
      </c>
      <c r="D20" s="363" t="s">
        <v>235</v>
      </c>
      <c r="E20" s="354">
        <v>2</v>
      </c>
      <c r="F20" s="323"/>
      <c r="G20" s="356">
        <f t="shared" si="0"/>
        <v>0</v>
      </c>
    </row>
    <row r="21" spans="1:7" ht="10.5">
      <c r="A21" s="363" t="s">
        <v>469</v>
      </c>
      <c r="B21" s="355"/>
      <c r="C21" s="357" t="s">
        <v>380</v>
      </c>
      <c r="D21" s="363" t="s">
        <v>219</v>
      </c>
      <c r="E21" s="354">
        <v>600</v>
      </c>
      <c r="F21" s="323"/>
      <c r="G21" s="356">
        <f t="shared" si="0"/>
        <v>0</v>
      </c>
    </row>
    <row r="22" spans="1:7" ht="10.5">
      <c r="A22" s="363" t="s">
        <v>469</v>
      </c>
      <c r="B22" s="355"/>
      <c r="C22" s="357" t="s">
        <v>446</v>
      </c>
      <c r="D22" s="363" t="s">
        <v>208</v>
      </c>
      <c r="E22" s="354">
        <v>2</v>
      </c>
      <c r="F22" s="323"/>
      <c r="G22" s="356">
        <f t="shared" si="0"/>
        <v>0</v>
      </c>
    </row>
    <row r="23" spans="1:7" ht="10.5">
      <c r="A23" s="363" t="s">
        <v>469</v>
      </c>
      <c r="B23" s="355"/>
      <c r="C23" s="357" t="s">
        <v>381</v>
      </c>
      <c r="D23" s="363" t="s">
        <v>141</v>
      </c>
      <c r="E23" s="354">
        <v>3950</v>
      </c>
      <c r="F23" s="323"/>
      <c r="G23" s="356">
        <f t="shared" si="0"/>
        <v>0</v>
      </c>
    </row>
    <row r="24" spans="1:7" ht="10.5">
      <c r="A24" s="363" t="s">
        <v>469</v>
      </c>
      <c r="B24" s="354" t="s">
        <v>382</v>
      </c>
      <c r="C24" s="355" t="s">
        <v>445</v>
      </c>
      <c r="D24" s="354" t="s">
        <v>383</v>
      </c>
      <c r="E24" s="354">
        <v>2</v>
      </c>
      <c r="F24" s="323"/>
      <c r="G24" s="356">
        <f>E24*F24</f>
        <v>0</v>
      </c>
    </row>
    <row r="25" spans="1:7" ht="10.5">
      <c r="A25" s="361" t="s">
        <v>367</v>
      </c>
      <c r="B25" s="364" t="s">
        <v>373</v>
      </c>
      <c r="C25" s="365" t="s">
        <v>384</v>
      </c>
      <c r="D25" s="364" t="s">
        <v>362</v>
      </c>
      <c r="E25" s="364">
        <v>2</v>
      </c>
      <c r="F25" s="323"/>
      <c r="G25" s="356">
        <f>E25*F25</f>
        <v>0</v>
      </c>
    </row>
    <row r="26" spans="1:7" ht="10.5">
      <c r="A26" s="423"/>
      <c r="B26" s="355"/>
      <c r="C26" s="359" t="s">
        <v>385</v>
      </c>
      <c r="D26" s="357"/>
      <c r="E26" s="355"/>
      <c r="F26" s="424"/>
      <c r="G26" s="366"/>
    </row>
    <row r="27" spans="1:7" ht="10.5">
      <c r="A27" s="361" t="s">
        <v>373</v>
      </c>
      <c r="B27" s="355"/>
      <c r="C27" s="357" t="s">
        <v>386</v>
      </c>
      <c r="D27" s="354" t="s">
        <v>235</v>
      </c>
      <c r="E27" s="364">
        <v>3</v>
      </c>
      <c r="F27" s="325"/>
      <c r="G27" s="356">
        <f t="shared" si="0"/>
        <v>0</v>
      </c>
    </row>
    <row r="28" spans="1:7" ht="10.5">
      <c r="A28" s="363" t="s">
        <v>471</v>
      </c>
      <c r="B28" s="354"/>
      <c r="C28" s="357" t="s">
        <v>387</v>
      </c>
      <c r="D28" s="363" t="s">
        <v>235</v>
      </c>
      <c r="E28" s="354">
        <v>1</v>
      </c>
      <c r="F28" s="323"/>
      <c r="G28" s="356">
        <f t="shared" si="0"/>
        <v>0</v>
      </c>
    </row>
    <row r="29" spans="1:7" ht="10.5">
      <c r="A29" s="363" t="s">
        <v>471</v>
      </c>
      <c r="B29" s="354"/>
      <c r="C29" s="357" t="s">
        <v>388</v>
      </c>
      <c r="D29" s="363" t="s">
        <v>235</v>
      </c>
      <c r="E29" s="354">
        <v>1</v>
      </c>
      <c r="F29" s="323"/>
      <c r="G29" s="356">
        <f t="shared" si="0"/>
        <v>0</v>
      </c>
    </row>
    <row r="30" spans="1:7" ht="10.5">
      <c r="A30" s="363" t="s">
        <v>469</v>
      </c>
      <c r="B30" s="354"/>
      <c r="C30" s="357" t="s">
        <v>389</v>
      </c>
      <c r="D30" s="363" t="s">
        <v>235</v>
      </c>
      <c r="E30" s="354">
        <v>3</v>
      </c>
      <c r="F30" s="323"/>
      <c r="G30" s="356">
        <f t="shared" si="0"/>
        <v>0</v>
      </c>
    </row>
    <row r="31" spans="1:7" ht="10.5">
      <c r="A31" s="363" t="s">
        <v>469</v>
      </c>
      <c r="B31" s="354"/>
      <c r="C31" s="357" t="s">
        <v>390</v>
      </c>
      <c r="D31" s="363" t="s">
        <v>362</v>
      </c>
      <c r="E31" s="354">
        <v>3</v>
      </c>
      <c r="F31" s="323"/>
      <c r="G31" s="356">
        <f t="shared" si="0"/>
        <v>0</v>
      </c>
    </row>
    <row r="32" spans="1:7" ht="10.5">
      <c r="A32" s="363" t="s">
        <v>469</v>
      </c>
      <c r="B32" s="355"/>
      <c r="C32" s="357" t="s">
        <v>391</v>
      </c>
      <c r="D32" s="363" t="s">
        <v>235</v>
      </c>
      <c r="E32" s="354">
        <v>3</v>
      </c>
      <c r="F32" s="323"/>
      <c r="G32" s="356">
        <f t="shared" si="0"/>
        <v>0</v>
      </c>
    </row>
    <row r="33" spans="1:7" ht="10.5">
      <c r="A33" s="363" t="s">
        <v>469</v>
      </c>
      <c r="B33" s="354" t="s">
        <v>392</v>
      </c>
      <c r="C33" s="357" t="s">
        <v>393</v>
      </c>
      <c r="D33" s="363" t="s">
        <v>394</v>
      </c>
      <c r="E33" s="354">
        <v>20</v>
      </c>
      <c r="F33" s="323"/>
      <c r="G33" s="356">
        <f t="shared" si="0"/>
        <v>0</v>
      </c>
    </row>
    <row r="34" spans="1:7" ht="10.5">
      <c r="A34" s="363" t="s">
        <v>469</v>
      </c>
      <c r="B34" s="354" t="s">
        <v>392</v>
      </c>
      <c r="C34" s="357" t="s">
        <v>395</v>
      </c>
      <c r="D34" s="354" t="s">
        <v>394</v>
      </c>
      <c r="E34" s="354">
        <v>20</v>
      </c>
      <c r="F34" s="323"/>
      <c r="G34" s="356">
        <f>E34*F34</f>
        <v>0</v>
      </c>
    </row>
    <row r="35" spans="1:7" ht="10.5">
      <c r="A35" s="363" t="s">
        <v>469</v>
      </c>
      <c r="B35" s="354" t="s">
        <v>382</v>
      </c>
      <c r="C35" s="357" t="s">
        <v>396</v>
      </c>
      <c r="D35" s="354" t="s">
        <v>383</v>
      </c>
      <c r="E35" s="354">
        <v>12</v>
      </c>
      <c r="F35" s="323"/>
      <c r="G35" s="356">
        <f>E35*F35</f>
        <v>0</v>
      </c>
    </row>
    <row r="36" spans="1:7" ht="10.5">
      <c r="A36" s="361" t="s">
        <v>367</v>
      </c>
      <c r="B36" s="354" t="s">
        <v>367</v>
      </c>
      <c r="C36" s="357" t="s">
        <v>397</v>
      </c>
      <c r="D36" s="363" t="s">
        <v>447</v>
      </c>
      <c r="E36" s="354">
        <v>1372</v>
      </c>
      <c r="F36" s="323"/>
      <c r="G36" s="356">
        <f t="shared" si="0"/>
        <v>0</v>
      </c>
    </row>
    <row r="37" spans="1:7" ht="10.5">
      <c r="A37" s="361" t="s">
        <v>367</v>
      </c>
      <c r="B37" s="354"/>
      <c r="C37" s="367" t="s">
        <v>398</v>
      </c>
      <c r="D37" s="363" t="s">
        <v>235</v>
      </c>
      <c r="E37" s="354">
        <v>20</v>
      </c>
      <c r="F37" s="323"/>
      <c r="G37" s="356">
        <f t="shared" si="0"/>
        <v>0</v>
      </c>
    </row>
    <row r="38" spans="1:7" s="311" customFormat="1" ht="12.75">
      <c r="A38" s="349"/>
      <c r="B38" s="350"/>
      <c r="C38" s="351" t="s">
        <v>399</v>
      </c>
      <c r="D38" s="350"/>
      <c r="E38" s="352"/>
      <c r="F38" s="422"/>
      <c r="G38" s="353">
        <f>SUM(G39:G54)</f>
        <v>0</v>
      </c>
    </row>
    <row r="39" spans="1:7" ht="10.5">
      <c r="A39" s="363" t="s">
        <v>471</v>
      </c>
      <c r="B39" s="354" t="s">
        <v>400</v>
      </c>
      <c r="C39" s="355" t="s">
        <v>401</v>
      </c>
      <c r="D39" s="354" t="s">
        <v>402</v>
      </c>
      <c r="E39" s="354">
        <v>63</v>
      </c>
      <c r="F39" s="323"/>
      <c r="G39" s="356">
        <f aca="true" t="shared" si="1" ref="G39:G54">E39*F39</f>
        <v>0</v>
      </c>
    </row>
    <row r="40" spans="1:7" ht="10.5">
      <c r="A40" s="363" t="s">
        <v>471</v>
      </c>
      <c r="B40" s="354" t="s">
        <v>400</v>
      </c>
      <c r="C40" s="355" t="s">
        <v>403</v>
      </c>
      <c r="D40" s="354" t="s">
        <v>402</v>
      </c>
      <c r="E40" s="361">
        <v>65</v>
      </c>
      <c r="F40" s="323"/>
      <c r="G40" s="356">
        <f t="shared" si="1"/>
        <v>0</v>
      </c>
    </row>
    <row r="41" spans="1:7" ht="10.5">
      <c r="A41" s="363" t="s">
        <v>471</v>
      </c>
      <c r="B41" s="354" t="s">
        <v>400</v>
      </c>
      <c r="C41" s="357" t="s">
        <v>404</v>
      </c>
      <c r="D41" s="363" t="s">
        <v>402</v>
      </c>
      <c r="E41" s="354">
        <v>6</v>
      </c>
      <c r="F41" s="323"/>
      <c r="G41" s="356">
        <f t="shared" si="1"/>
        <v>0</v>
      </c>
    </row>
    <row r="42" spans="1:7" ht="10.5">
      <c r="A42" s="363" t="s">
        <v>471</v>
      </c>
      <c r="B42" s="354" t="s">
        <v>400</v>
      </c>
      <c r="C42" s="357" t="s">
        <v>405</v>
      </c>
      <c r="D42" s="354" t="s">
        <v>402</v>
      </c>
      <c r="E42" s="354">
        <v>216</v>
      </c>
      <c r="F42" s="323"/>
      <c r="G42" s="356">
        <f t="shared" si="1"/>
        <v>0</v>
      </c>
    </row>
    <row r="43" spans="1:7" ht="10.5">
      <c r="A43" s="363" t="s">
        <v>471</v>
      </c>
      <c r="B43" s="354" t="s">
        <v>400</v>
      </c>
      <c r="C43" s="357" t="s">
        <v>406</v>
      </c>
      <c r="D43" s="354" t="s">
        <v>402</v>
      </c>
      <c r="E43" s="354">
        <v>11</v>
      </c>
      <c r="F43" s="323"/>
      <c r="G43" s="356">
        <f t="shared" si="1"/>
        <v>0</v>
      </c>
    </row>
    <row r="44" spans="1:7" ht="10.5">
      <c r="A44" s="363" t="s">
        <v>471</v>
      </c>
      <c r="B44" s="354" t="s">
        <v>400</v>
      </c>
      <c r="C44" s="357" t="s">
        <v>407</v>
      </c>
      <c r="D44" s="354" t="s">
        <v>408</v>
      </c>
      <c r="E44" s="354">
        <v>63</v>
      </c>
      <c r="F44" s="323"/>
      <c r="G44" s="356">
        <f t="shared" si="1"/>
        <v>0</v>
      </c>
    </row>
    <row r="45" spans="1:7" ht="10.5">
      <c r="A45" s="363" t="s">
        <v>471</v>
      </c>
      <c r="B45" s="354" t="s">
        <v>400</v>
      </c>
      <c r="C45" s="355" t="s">
        <v>409</v>
      </c>
      <c r="D45" s="354" t="s">
        <v>408</v>
      </c>
      <c r="E45" s="354">
        <v>11</v>
      </c>
      <c r="F45" s="324"/>
      <c r="G45" s="356">
        <f t="shared" si="1"/>
        <v>0</v>
      </c>
    </row>
    <row r="46" spans="1:7" ht="10.5">
      <c r="A46" s="363" t="s">
        <v>471</v>
      </c>
      <c r="B46" s="354" t="s">
        <v>400</v>
      </c>
      <c r="C46" s="355" t="s">
        <v>410</v>
      </c>
      <c r="D46" s="354" t="s">
        <v>408</v>
      </c>
      <c r="E46" s="354">
        <v>49</v>
      </c>
      <c r="F46" s="323"/>
      <c r="G46" s="356">
        <f t="shared" si="1"/>
        <v>0</v>
      </c>
    </row>
    <row r="47" spans="1:7" ht="13.5">
      <c r="A47" s="363" t="s">
        <v>471</v>
      </c>
      <c r="B47" s="354" t="s">
        <v>400</v>
      </c>
      <c r="C47" s="360" t="s">
        <v>411</v>
      </c>
      <c r="D47" s="354" t="s">
        <v>408</v>
      </c>
      <c r="E47" s="354">
        <v>16</v>
      </c>
      <c r="F47" s="323"/>
      <c r="G47" s="356">
        <f t="shared" si="1"/>
        <v>0</v>
      </c>
    </row>
    <row r="48" spans="1:7" ht="10.5">
      <c r="A48" s="363" t="s">
        <v>471</v>
      </c>
      <c r="B48" s="354" t="s">
        <v>400</v>
      </c>
      <c r="C48" s="367" t="s">
        <v>412</v>
      </c>
      <c r="D48" s="354" t="s">
        <v>408</v>
      </c>
      <c r="E48" s="354">
        <v>65</v>
      </c>
      <c r="F48" s="323"/>
      <c r="G48" s="356">
        <f t="shared" si="1"/>
        <v>0</v>
      </c>
    </row>
    <row r="49" spans="1:7" ht="10.5">
      <c r="A49" s="363" t="s">
        <v>471</v>
      </c>
      <c r="B49" s="354" t="s">
        <v>400</v>
      </c>
      <c r="C49" s="367" t="s">
        <v>413</v>
      </c>
      <c r="D49" s="354" t="s">
        <v>408</v>
      </c>
      <c r="E49" s="354">
        <v>6</v>
      </c>
      <c r="F49" s="323"/>
      <c r="G49" s="356">
        <f t="shared" si="1"/>
        <v>0</v>
      </c>
    </row>
    <row r="50" spans="1:7" ht="10.5">
      <c r="A50" s="363" t="s">
        <v>471</v>
      </c>
      <c r="B50" s="354" t="s">
        <v>400</v>
      </c>
      <c r="C50" s="357" t="s">
        <v>414</v>
      </c>
      <c r="D50" s="363" t="s">
        <v>408</v>
      </c>
      <c r="E50" s="354">
        <v>216</v>
      </c>
      <c r="F50" s="323"/>
      <c r="G50" s="356">
        <f t="shared" si="1"/>
        <v>0</v>
      </c>
    </row>
    <row r="51" spans="1:7" ht="10.5">
      <c r="A51" s="363" t="s">
        <v>471</v>
      </c>
      <c r="B51" s="354" t="s">
        <v>400</v>
      </c>
      <c r="C51" s="357" t="s">
        <v>415</v>
      </c>
      <c r="D51" s="354" t="s">
        <v>408</v>
      </c>
      <c r="E51" s="354">
        <v>18</v>
      </c>
      <c r="F51" s="323"/>
      <c r="G51" s="356">
        <f t="shared" si="1"/>
        <v>0</v>
      </c>
    </row>
    <row r="52" spans="1:7" ht="10.5">
      <c r="A52" s="363" t="s">
        <v>471</v>
      </c>
      <c r="B52" s="354" t="s">
        <v>400</v>
      </c>
      <c r="C52" s="360" t="s">
        <v>416</v>
      </c>
      <c r="D52" s="361" t="s">
        <v>417</v>
      </c>
      <c r="E52" s="361">
        <v>192</v>
      </c>
      <c r="F52" s="323"/>
      <c r="G52" s="356">
        <f t="shared" si="1"/>
        <v>0</v>
      </c>
    </row>
    <row r="53" spans="1:7" ht="10.5">
      <c r="A53" s="363" t="s">
        <v>471</v>
      </c>
      <c r="B53" s="354" t="s">
        <v>400</v>
      </c>
      <c r="C53" s="360" t="s">
        <v>418</v>
      </c>
      <c r="D53" s="361" t="s">
        <v>419</v>
      </c>
      <c r="E53" s="354">
        <v>24</v>
      </c>
      <c r="F53" s="323"/>
      <c r="G53" s="356">
        <f t="shared" si="1"/>
        <v>0</v>
      </c>
    </row>
    <row r="54" spans="1:7" ht="10.5">
      <c r="A54" s="363" t="s">
        <v>471</v>
      </c>
      <c r="B54" s="354" t="s">
        <v>400</v>
      </c>
      <c r="C54" s="360" t="s">
        <v>420</v>
      </c>
      <c r="D54" s="361" t="s">
        <v>421</v>
      </c>
      <c r="E54" s="354">
        <v>4500</v>
      </c>
      <c r="F54" s="323"/>
      <c r="G54" s="356">
        <f t="shared" si="1"/>
        <v>0</v>
      </c>
    </row>
    <row r="55" spans="1:7" s="311" customFormat="1" ht="12.75">
      <c r="A55" s="368"/>
      <c r="B55" s="350"/>
      <c r="C55" s="369" t="s">
        <v>422</v>
      </c>
      <c r="D55" s="370"/>
      <c r="E55" s="352"/>
      <c r="F55" s="422"/>
      <c r="G55" s="353">
        <f>SUM(G56:G63)</f>
        <v>0</v>
      </c>
    </row>
    <row r="56" spans="1:7" ht="11.25">
      <c r="A56" s="363" t="s">
        <v>471</v>
      </c>
      <c r="B56" s="312" t="s">
        <v>400</v>
      </c>
      <c r="C56" s="360" t="s">
        <v>423</v>
      </c>
      <c r="D56" s="354" t="s">
        <v>402</v>
      </c>
      <c r="E56" s="354">
        <v>348</v>
      </c>
      <c r="F56" s="323"/>
      <c r="G56" s="356">
        <f aca="true" t="shared" si="2" ref="G56:G63">E56*F56</f>
        <v>0</v>
      </c>
    </row>
    <row r="57" spans="1:7" ht="11.25">
      <c r="A57" s="363" t="s">
        <v>471</v>
      </c>
      <c r="B57" s="312" t="s">
        <v>400</v>
      </c>
      <c r="C57" s="360" t="s">
        <v>410</v>
      </c>
      <c r="D57" s="354" t="s">
        <v>408</v>
      </c>
      <c r="E57" s="354">
        <v>348</v>
      </c>
      <c r="F57" s="323"/>
      <c r="G57" s="356">
        <f t="shared" si="2"/>
        <v>0</v>
      </c>
    </row>
    <row r="58" spans="1:7" ht="13.5">
      <c r="A58" s="363" t="s">
        <v>471</v>
      </c>
      <c r="B58" s="312" t="s">
        <v>400</v>
      </c>
      <c r="C58" s="360" t="s">
        <v>411</v>
      </c>
      <c r="D58" s="354" t="s">
        <v>408</v>
      </c>
      <c r="E58" s="354">
        <v>348</v>
      </c>
      <c r="F58" s="323"/>
      <c r="G58" s="356">
        <f t="shared" si="2"/>
        <v>0</v>
      </c>
    </row>
    <row r="59" spans="1:7" ht="11.25">
      <c r="A59" s="363" t="s">
        <v>471</v>
      </c>
      <c r="B59" s="312" t="s">
        <v>400</v>
      </c>
      <c r="C59" s="360" t="s">
        <v>424</v>
      </c>
      <c r="D59" s="354" t="s">
        <v>408</v>
      </c>
      <c r="E59" s="354">
        <v>348</v>
      </c>
      <c r="F59" s="323"/>
      <c r="G59" s="356">
        <f t="shared" si="2"/>
        <v>0</v>
      </c>
    </row>
    <row r="60" spans="1:7" ht="11.25">
      <c r="A60" s="363" t="s">
        <v>471</v>
      </c>
      <c r="B60" s="312" t="s">
        <v>400</v>
      </c>
      <c r="C60" s="360" t="s">
        <v>425</v>
      </c>
      <c r="D60" s="354" t="s">
        <v>408</v>
      </c>
      <c r="E60" s="354">
        <v>288</v>
      </c>
      <c r="F60" s="323"/>
      <c r="G60" s="356">
        <f t="shared" si="2"/>
        <v>0</v>
      </c>
    </row>
    <row r="61" spans="1:7" ht="11.25">
      <c r="A61" s="363" t="s">
        <v>471</v>
      </c>
      <c r="B61" s="312" t="s">
        <v>400</v>
      </c>
      <c r="C61" s="360" t="s">
        <v>443</v>
      </c>
      <c r="D61" s="361" t="s">
        <v>417</v>
      </c>
      <c r="E61" s="354">
        <v>348</v>
      </c>
      <c r="F61" s="323"/>
      <c r="G61" s="356">
        <f t="shared" si="2"/>
        <v>0</v>
      </c>
    </row>
    <row r="62" spans="1:7" ht="11.25">
      <c r="A62" s="363" t="s">
        <v>471</v>
      </c>
      <c r="B62" s="312" t="s">
        <v>400</v>
      </c>
      <c r="C62" s="360" t="s">
        <v>418</v>
      </c>
      <c r="D62" s="361" t="s">
        <v>419</v>
      </c>
      <c r="E62" s="354">
        <v>48</v>
      </c>
      <c r="F62" s="323"/>
      <c r="G62" s="356">
        <f t="shared" si="2"/>
        <v>0</v>
      </c>
    </row>
    <row r="63" spans="1:7" ht="11.25">
      <c r="A63" s="363" t="s">
        <v>471</v>
      </c>
      <c r="B63" s="312" t="s">
        <v>400</v>
      </c>
      <c r="C63" s="360" t="s">
        <v>420</v>
      </c>
      <c r="D63" s="361" t="s">
        <v>421</v>
      </c>
      <c r="E63" s="354">
        <v>3600</v>
      </c>
      <c r="F63" s="323"/>
      <c r="G63" s="356">
        <f t="shared" si="2"/>
        <v>0</v>
      </c>
    </row>
    <row r="64" spans="1:7" s="311" customFormat="1" ht="12.75">
      <c r="A64" s="368"/>
      <c r="B64" s="350"/>
      <c r="C64" s="351" t="s">
        <v>426</v>
      </c>
      <c r="D64" s="350"/>
      <c r="E64" s="352"/>
      <c r="F64" s="422"/>
      <c r="G64" s="353">
        <f>SUM(G65:G75)</f>
        <v>0</v>
      </c>
    </row>
    <row r="65" spans="1:7" ht="11.25">
      <c r="A65" s="425" t="s">
        <v>470</v>
      </c>
      <c r="B65" s="312" t="s">
        <v>427</v>
      </c>
      <c r="C65" s="367" t="s">
        <v>428</v>
      </c>
      <c r="D65" s="361" t="s">
        <v>429</v>
      </c>
      <c r="E65" s="361">
        <v>120</v>
      </c>
      <c r="F65" s="323"/>
      <c r="G65" s="356">
        <f aca="true" t="shared" si="3" ref="G65:G75">E65*F65</f>
        <v>0</v>
      </c>
    </row>
    <row r="66" spans="1:7" ht="11.25">
      <c r="A66" s="425" t="s">
        <v>470</v>
      </c>
      <c r="B66" s="312" t="s">
        <v>427</v>
      </c>
      <c r="C66" s="355" t="s">
        <v>430</v>
      </c>
      <c r="D66" s="361" t="s">
        <v>429</v>
      </c>
      <c r="E66" s="354">
        <v>265</v>
      </c>
      <c r="F66" s="323"/>
      <c r="G66" s="356">
        <f t="shared" si="3"/>
        <v>0</v>
      </c>
    </row>
    <row r="67" spans="1:7" ht="11.25">
      <c r="A67" s="425" t="s">
        <v>470</v>
      </c>
      <c r="B67" s="312" t="s">
        <v>427</v>
      </c>
      <c r="C67" s="355" t="s">
        <v>431</v>
      </c>
      <c r="D67" s="361" t="s">
        <v>429</v>
      </c>
      <c r="E67" s="354">
        <v>480</v>
      </c>
      <c r="F67" s="323"/>
      <c r="G67" s="356">
        <f t="shared" si="3"/>
        <v>0</v>
      </c>
    </row>
    <row r="68" spans="1:7" ht="11.25">
      <c r="A68" s="425" t="s">
        <v>470</v>
      </c>
      <c r="B68" s="312" t="s">
        <v>427</v>
      </c>
      <c r="C68" s="355" t="s">
        <v>432</v>
      </c>
      <c r="D68" s="361" t="s">
        <v>429</v>
      </c>
      <c r="E68" s="354">
        <v>210</v>
      </c>
      <c r="F68" s="323"/>
      <c r="G68" s="356">
        <f t="shared" si="3"/>
        <v>0</v>
      </c>
    </row>
    <row r="69" spans="1:7" ht="11.25">
      <c r="A69" s="425" t="s">
        <v>470</v>
      </c>
      <c r="B69" s="312" t="s">
        <v>427</v>
      </c>
      <c r="C69" s="355" t="s">
        <v>433</v>
      </c>
      <c r="D69" s="361" t="s">
        <v>429</v>
      </c>
      <c r="E69" s="354">
        <v>240</v>
      </c>
      <c r="F69" s="323"/>
      <c r="G69" s="356">
        <f t="shared" si="3"/>
        <v>0</v>
      </c>
    </row>
    <row r="70" spans="1:7" ht="11.25">
      <c r="A70" s="425" t="s">
        <v>470</v>
      </c>
      <c r="B70" s="312" t="s">
        <v>427</v>
      </c>
      <c r="C70" s="355" t="s">
        <v>434</v>
      </c>
      <c r="D70" s="361" t="s">
        <v>429</v>
      </c>
      <c r="E70" s="354">
        <v>150</v>
      </c>
      <c r="F70" s="323"/>
      <c r="G70" s="356">
        <f t="shared" si="3"/>
        <v>0</v>
      </c>
    </row>
    <row r="71" spans="1:7" ht="11.25">
      <c r="A71" s="425" t="s">
        <v>470</v>
      </c>
      <c r="B71" s="312" t="s">
        <v>427</v>
      </c>
      <c r="C71" s="355" t="s">
        <v>435</v>
      </c>
      <c r="D71" s="361" t="s">
        <v>429</v>
      </c>
      <c r="E71" s="354">
        <v>80</v>
      </c>
      <c r="F71" s="323"/>
      <c r="G71" s="356">
        <f t="shared" si="3"/>
        <v>0</v>
      </c>
    </row>
    <row r="72" spans="1:7" ht="11.25">
      <c r="A72" s="425" t="s">
        <v>470</v>
      </c>
      <c r="B72" s="312" t="s">
        <v>427</v>
      </c>
      <c r="C72" s="355" t="s">
        <v>436</v>
      </c>
      <c r="D72" s="361" t="s">
        <v>429</v>
      </c>
      <c r="E72" s="354">
        <v>18</v>
      </c>
      <c r="F72" s="323"/>
      <c r="G72" s="356">
        <f t="shared" si="3"/>
        <v>0</v>
      </c>
    </row>
    <row r="73" spans="1:7" ht="11.25">
      <c r="A73" s="425" t="s">
        <v>470</v>
      </c>
      <c r="B73" s="312" t="s">
        <v>427</v>
      </c>
      <c r="C73" s="355" t="s">
        <v>437</v>
      </c>
      <c r="D73" s="361" t="s">
        <v>429</v>
      </c>
      <c r="E73" s="354">
        <v>45</v>
      </c>
      <c r="F73" s="323"/>
      <c r="G73" s="356">
        <f t="shared" si="3"/>
        <v>0</v>
      </c>
    </row>
    <row r="74" spans="1:7" ht="11.25">
      <c r="A74" s="425" t="s">
        <v>470</v>
      </c>
      <c r="B74" s="312" t="s">
        <v>427</v>
      </c>
      <c r="C74" s="355" t="s">
        <v>438</v>
      </c>
      <c r="D74" s="361" t="s">
        <v>429</v>
      </c>
      <c r="E74" s="354">
        <v>120</v>
      </c>
      <c r="F74" s="323"/>
      <c r="G74" s="356">
        <f t="shared" si="3"/>
        <v>0</v>
      </c>
    </row>
    <row r="75" spans="1:7" ht="10.5">
      <c r="A75" s="425" t="s">
        <v>470</v>
      </c>
      <c r="B75" s="355"/>
      <c r="C75" s="355" t="s">
        <v>439</v>
      </c>
      <c r="D75" s="361" t="s">
        <v>421</v>
      </c>
      <c r="E75" s="354">
        <v>4500</v>
      </c>
      <c r="F75" s="323"/>
      <c r="G75" s="356">
        <f t="shared" si="3"/>
        <v>0</v>
      </c>
    </row>
    <row r="76" spans="1:7" s="311" customFormat="1" ht="15.75" thickBot="1">
      <c r="A76" s="315"/>
      <c r="B76" s="371"/>
      <c r="C76" s="372" t="s">
        <v>440</v>
      </c>
      <c r="D76" s="373"/>
      <c r="E76" s="374"/>
      <c r="F76" s="373"/>
      <c r="G76" s="375">
        <f>SUM(G64,G55,G38,G9,G5)</f>
        <v>0</v>
      </c>
    </row>
  </sheetData>
  <sheetProtection password="EF31" sheet="1" objects="1" scenarios="1" selectLockedCells="1" autoFilter="0" pivotTables="0"/>
  <printOptions horizontalCentered="1"/>
  <pageMargins left="0.7086614173228347" right="0.2362204724409449" top="0.7480314960629921" bottom="0.5905511811023623" header="0.5118110236220472" footer="0.2755905511811024"/>
  <pageSetup fitToHeight="1" fitToWidth="1" horizontalDpi="600" verticalDpi="600" orientation="portrait" pageOrder="overThenDown" paperSize="9" scale="83" r:id="rId3"/>
  <rowBreaks count="2" manualBreakCount="2">
    <brk id="14" max="16383" man="1"/>
    <brk id="54" max="16383" man="1"/>
  </rowBreaks>
  <colBreaks count="1" manualBreakCount="1">
    <brk id="2" max="1638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zoomScale="120" zoomScaleSheetLayoutView="120" workbookViewId="0" topLeftCell="A2">
      <selection activeCell="H31" sqref="H31"/>
    </sheetView>
  </sheetViews>
  <sheetFormatPr defaultColWidth="9.33203125" defaultRowHeight="12.75" customHeight="1"/>
  <cols>
    <col min="1" max="1" width="2.83203125" style="14" customWidth="1"/>
    <col min="2" max="2" width="2.16015625" style="14" customWidth="1"/>
    <col min="3" max="3" width="3.16015625" style="14" customWidth="1"/>
    <col min="4" max="4" width="8" style="14" customWidth="1"/>
    <col min="5" max="5" width="15.83203125" style="14" customWidth="1"/>
    <col min="6" max="6" width="0.65625" style="14" customWidth="1"/>
    <col min="7" max="7" width="3" style="14" customWidth="1"/>
    <col min="8" max="8" width="3.16015625" style="14" customWidth="1"/>
    <col min="9" max="9" width="11.33203125" style="14" customWidth="1"/>
    <col min="10" max="10" width="15.83203125" style="14" customWidth="1"/>
    <col min="11" max="11" width="0.82421875" style="14" customWidth="1"/>
    <col min="12" max="12" width="2.83203125" style="14" customWidth="1"/>
    <col min="13" max="13" width="3.33203125" style="14" customWidth="1"/>
    <col min="14" max="14" width="2.33203125" style="14" customWidth="1"/>
    <col min="15" max="15" width="14.83203125" style="14" customWidth="1"/>
    <col min="16" max="16" width="3.33203125" style="14" customWidth="1"/>
    <col min="17" max="17" width="2.33203125" style="14" customWidth="1"/>
    <col min="18" max="18" width="15.83203125" style="14" customWidth="1"/>
    <col min="19" max="19" width="0.65625" style="14" customWidth="1"/>
    <col min="20" max="16384" width="9.33203125" style="14" customWidth="1"/>
  </cols>
  <sheetData>
    <row r="1" spans="1:19" ht="12" customHeight="1" hidden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23.25" customHeight="1">
      <c r="A2" s="11"/>
      <c r="B2" s="12"/>
      <c r="C2" s="12"/>
      <c r="D2" s="12"/>
      <c r="E2" s="12"/>
      <c r="F2" s="12"/>
      <c r="G2" s="15" t="s">
        <v>22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19" ht="12" customHeight="1" hidden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8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4" customHeight="1">
      <c r="A5" s="22"/>
      <c r="B5" s="23" t="s">
        <v>23</v>
      </c>
      <c r="C5" s="23"/>
      <c r="D5" s="23"/>
      <c r="E5" s="436" t="s">
        <v>466</v>
      </c>
      <c r="F5" s="437"/>
      <c r="G5" s="437"/>
      <c r="H5" s="437"/>
      <c r="I5" s="437"/>
      <c r="J5" s="438"/>
      <c r="K5" s="23"/>
      <c r="L5" s="23"/>
      <c r="M5" s="23"/>
      <c r="N5" s="23"/>
      <c r="O5" s="23" t="s">
        <v>24</v>
      </c>
      <c r="P5" s="24" t="s">
        <v>25</v>
      </c>
      <c r="Q5" s="25"/>
      <c r="R5" s="26"/>
      <c r="S5" s="27"/>
    </row>
    <row r="6" spans="1:19" ht="17.25" customHeight="1" hidden="1">
      <c r="A6" s="22"/>
      <c r="B6" s="23" t="s">
        <v>26</v>
      </c>
      <c r="C6" s="23"/>
      <c r="D6" s="23"/>
      <c r="E6" s="412" t="s">
        <v>15</v>
      </c>
      <c r="F6" s="23"/>
      <c r="G6" s="23"/>
      <c r="H6" s="23"/>
      <c r="I6" s="23"/>
      <c r="J6" s="28"/>
      <c r="K6" s="23"/>
      <c r="L6" s="23"/>
      <c r="M6" s="23"/>
      <c r="N6" s="23"/>
      <c r="O6" s="23"/>
      <c r="P6" s="29"/>
      <c r="Q6" s="30"/>
      <c r="R6" s="28"/>
      <c r="S6" s="27"/>
    </row>
    <row r="7" spans="1:19" ht="24" customHeight="1">
      <c r="A7" s="22"/>
      <c r="B7" s="23" t="s">
        <v>27</v>
      </c>
      <c r="C7" s="23"/>
      <c r="D7" s="23"/>
      <c r="E7" s="439"/>
      <c r="F7" s="440"/>
      <c r="G7" s="440"/>
      <c r="H7" s="440"/>
      <c r="I7" s="440"/>
      <c r="J7" s="441"/>
      <c r="K7" s="23"/>
      <c r="L7" s="23"/>
      <c r="M7" s="23"/>
      <c r="N7" s="23"/>
      <c r="O7" s="320" t="s">
        <v>19</v>
      </c>
      <c r="P7" s="31"/>
      <c r="Q7" s="30"/>
      <c r="R7" s="313" t="str">
        <f>Rekapitulace!H17</f>
        <v>45112000-5</v>
      </c>
      <c r="S7" s="27"/>
    </row>
    <row r="8" spans="1:19" ht="17.25" customHeight="1" hidden="1">
      <c r="A8" s="22"/>
      <c r="B8" s="23" t="s">
        <v>29</v>
      </c>
      <c r="C8" s="23"/>
      <c r="D8" s="23"/>
      <c r="E8" s="412" t="s">
        <v>16</v>
      </c>
      <c r="F8" s="23"/>
      <c r="G8" s="23"/>
      <c r="H8" s="23"/>
      <c r="I8" s="23"/>
      <c r="J8" s="28"/>
      <c r="K8" s="23"/>
      <c r="L8" s="23"/>
      <c r="M8" s="23"/>
      <c r="N8" s="23"/>
      <c r="O8" s="23"/>
      <c r="P8" s="29"/>
      <c r="Q8" s="30"/>
      <c r="R8" s="28"/>
      <c r="S8" s="27"/>
    </row>
    <row r="9" spans="1:19" ht="24" customHeight="1">
      <c r="A9" s="22"/>
      <c r="B9" s="23" t="s">
        <v>30</v>
      </c>
      <c r="C9" s="23"/>
      <c r="D9" s="23"/>
      <c r="E9" s="442" t="s">
        <v>21</v>
      </c>
      <c r="F9" s="443"/>
      <c r="G9" s="443"/>
      <c r="H9" s="443"/>
      <c r="I9" s="443"/>
      <c r="J9" s="444"/>
      <c r="K9" s="23"/>
      <c r="L9" s="23"/>
      <c r="M9" s="23"/>
      <c r="N9" s="23"/>
      <c r="O9" s="23" t="s">
        <v>31</v>
      </c>
      <c r="P9" s="445"/>
      <c r="Q9" s="443"/>
      <c r="R9" s="444"/>
      <c r="S9" s="27"/>
    </row>
    <row r="10" spans="1:19" ht="17.25" customHeight="1" hidden="1">
      <c r="A10" s="22"/>
      <c r="B10" s="23" t="s">
        <v>32</v>
      </c>
      <c r="C10" s="23"/>
      <c r="D10" s="23"/>
      <c r="E10" s="32" t="s">
        <v>25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0"/>
      <c r="Q10" s="30"/>
      <c r="R10" s="23"/>
      <c r="S10" s="27"/>
    </row>
    <row r="11" spans="1:19" ht="17.25" customHeight="1" hidden="1">
      <c r="A11" s="22"/>
      <c r="B11" s="23" t="s">
        <v>33</v>
      </c>
      <c r="C11" s="23"/>
      <c r="D11" s="23"/>
      <c r="E11" s="32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0"/>
      <c r="Q11" s="30"/>
      <c r="R11" s="23"/>
      <c r="S11" s="27"/>
    </row>
    <row r="12" spans="1:19" ht="17.25" customHeight="1" hidden="1">
      <c r="A12" s="22"/>
      <c r="B12" s="23" t="s">
        <v>34</v>
      </c>
      <c r="C12" s="23"/>
      <c r="D12" s="23"/>
      <c r="E12" s="32" t="s">
        <v>25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0"/>
      <c r="Q12" s="30"/>
      <c r="R12" s="23"/>
      <c r="S12" s="27"/>
    </row>
    <row r="13" spans="1:19" ht="17.25" customHeight="1" hidden="1">
      <c r="A13" s="22"/>
      <c r="B13" s="23"/>
      <c r="C13" s="23"/>
      <c r="D13" s="23"/>
      <c r="E13" s="32" t="s">
        <v>25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0"/>
      <c r="Q13" s="30"/>
      <c r="R13" s="23"/>
      <c r="S13" s="27"/>
    </row>
    <row r="14" spans="1:19" ht="17.25" customHeight="1" hidden="1">
      <c r="A14" s="22"/>
      <c r="B14" s="23"/>
      <c r="C14" s="23"/>
      <c r="D14" s="23"/>
      <c r="E14" s="32" t="s">
        <v>25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0"/>
      <c r="Q14" s="30"/>
      <c r="R14" s="23"/>
      <c r="S14" s="27"/>
    </row>
    <row r="15" spans="1:19" ht="17.25" customHeight="1" hidden="1">
      <c r="A15" s="22"/>
      <c r="B15" s="23"/>
      <c r="C15" s="23"/>
      <c r="D15" s="23"/>
      <c r="E15" s="32" t="s">
        <v>25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0"/>
      <c r="Q15" s="30"/>
      <c r="R15" s="23"/>
      <c r="S15" s="27"/>
    </row>
    <row r="16" spans="1:19" ht="17.25" customHeight="1" hidden="1">
      <c r="A16" s="22"/>
      <c r="B16" s="23"/>
      <c r="C16" s="23"/>
      <c r="D16" s="23"/>
      <c r="E16" s="32" t="s">
        <v>25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0"/>
      <c r="Q16" s="30"/>
      <c r="R16" s="23"/>
      <c r="S16" s="27"/>
    </row>
    <row r="17" spans="1:19" ht="17.25" customHeight="1" hidden="1">
      <c r="A17" s="22"/>
      <c r="B17" s="23"/>
      <c r="C17" s="23"/>
      <c r="D17" s="23"/>
      <c r="E17" s="32" t="s">
        <v>25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0"/>
      <c r="Q17" s="30"/>
      <c r="R17" s="23"/>
      <c r="S17" s="27"/>
    </row>
    <row r="18" spans="1:19" ht="17.25" customHeight="1" hidden="1">
      <c r="A18" s="22"/>
      <c r="B18" s="23"/>
      <c r="C18" s="23"/>
      <c r="D18" s="23"/>
      <c r="E18" s="32" t="s">
        <v>25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0"/>
      <c r="Q18" s="30"/>
      <c r="R18" s="23"/>
      <c r="S18" s="27"/>
    </row>
    <row r="19" spans="1:19" ht="17.25" customHeight="1" hidden="1">
      <c r="A19" s="22"/>
      <c r="B19" s="23"/>
      <c r="C19" s="23"/>
      <c r="D19" s="23"/>
      <c r="E19" s="32" t="s">
        <v>25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0"/>
      <c r="Q19" s="30"/>
      <c r="R19" s="23"/>
      <c r="S19" s="27"/>
    </row>
    <row r="20" spans="1:19" ht="17.25" customHeight="1" hidden="1">
      <c r="A20" s="22"/>
      <c r="B20" s="23"/>
      <c r="C20" s="23"/>
      <c r="D20" s="23"/>
      <c r="E20" s="32" t="s">
        <v>25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0"/>
      <c r="Q20" s="30"/>
      <c r="R20" s="23"/>
      <c r="S20" s="27"/>
    </row>
    <row r="21" spans="1:19" ht="17.25" customHeight="1" hidden="1">
      <c r="A21" s="22"/>
      <c r="B21" s="23"/>
      <c r="C21" s="23"/>
      <c r="D21" s="23"/>
      <c r="E21" s="32" t="s">
        <v>25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0"/>
      <c r="Q21" s="30"/>
      <c r="R21" s="23"/>
      <c r="S21" s="27"/>
    </row>
    <row r="22" spans="1:19" ht="17.25" customHeight="1" hidden="1">
      <c r="A22" s="22"/>
      <c r="B22" s="23"/>
      <c r="C22" s="23"/>
      <c r="D22" s="23"/>
      <c r="E22" s="32" t="s">
        <v>25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0"/>
      <c r="Q22" s="30"/>
      <c r="R22" s="23"/>
      <c r="S22" s="27"/>
    </row>
    <row r="23" spans="1:19" ht="17.25" customHeight="1" hidden="1">
      <c r="A23" s="22"/>
      <c r="B23" s="23"/>
      <c r="C23" s="23"/>
      <c r="D23" s="23"/>
      <c r="E23" s="32" t="s">
        <v>25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0"/>
      <c r="Q23" s="30"/>
      <c r="R23" s="23"/>
      <c r="S23" s="27"/>
    </row>
    <row r="24" spans="1:19" ht="17.25" customHeight="1" hidden="1">
      <c r="A24" s="22"/>
      <c r="B24" s="23"/>
      <c r="C24" s="23"/>
      <c r="D24" s="23"/>
      <c r="E24" s="33" t="s">
        <v>25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0"/>
      <c r="Q24" s="30"/>
      <c r="R24" s="23"/>
      <c r="S24" s="27"/>
    </row>
    <row r="25" spans="1:19" ht="17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 t="s">
        <v>35</v>
      </c>
      <c r="P25" s="23" t="s">
        <v>36</v>
      </c>
      <c r="Q25" s="23"/>
      <c r="R25" s="23"/>
      <c r="S25" s="27"/>
    </row>
    <row r="26" spans="1:19" ht="17.25" customHeight="1">
      <c r="A26" s="22"/>
      <c r="B26" s="23" t="s">
        <v>37</v>
      </c>
      <c r="C26" s="23"/>
      <c r="D26" s="23"/>
      <c r="E26" s="24" t="s">
        <v>307</v>
      </c>
      <c r="F26" s="34"/>
      <c r="G26" s="34"/>
      <c r="H26" s="34"/>
      <c r="I26" s="34"/>
      <c r="J26" s="26"/>
      <c r="K26" s="23"/>
      <c r="L26" s="23"/>
      <c r="M26" s="23"/>
      <c r="N26" s="23"/>
      <c r="O26" s="328"/>
      <c r="P26" s="329"/>
      <c r="Q26" s="330"/>
      <c r="R26" s="331"/>
      <c r="S26" s="27"/>
    </row>
    <row r="27" spans="1:19" ht="17.25" customHeight="1">
      <c r="A27" s="22"/>
      <c r="B27" s="23" t="s">
        <v>38</v>
      </c>
      <c r="C27" s="23"/>
      <c r="D27" s="23"/>
      <c r="E27" s="332"/>
      <c r="F27" s="327"/>
      <c r="G27" s="327"/>
      <c r="H27" s="327"/>
      <c r="I27" s="327"/>
      <c r="J27" s="333"/>
      <c r="K27" s="23"/>
      <c r="L27" s="23"/>
      <c r="M27" s="23"/>
      <c r="N27" s="23"/>
      <c r="O27" s="328"/>
      <c r="P27" s="329"/>
      <c r="Q27" s="330"/>
      <c r="R27" s="331"/>
      <c r="S27" s="27"/>
    </row>
    <row r="28" spans="1:19" ht="17.25" customHeight="1">
      <c r="A28" s="22"/>
      <c r="B28" s="23" t="s">
        <v>39</v>
      </c>
      <c r="C28" s="23"/>
      <c r="D28" s="23"/>
      <c r="E28" s="332" t="s">
        <v>25</v>
      </c>
      <c r="F28" s="327"/>
      <c r="G28" s="327"/>
      <c r="H28" s="327"/>
      <c r="I28" s="327"/>
      <c r="J28" s="333"/>
      <c r="K28" s="23"/>
      <c r="L28" s="23"/>
      <c r="M28" s="23"/>
      <c r="N28" s="23"/>
      <c r="O28" s="328"/>
      <c r="P28" s="329"/>
      <c r="Q28" s="330"/>
      <c r="R28" s="331"/>
      <c r="S28" s="27"/>
    </row>
    <row r="29" spans="1:19" ht="17.25" customHeight="1">
      <c r="A29" s="22"/>
      <c r="B29" s="23"/>
      <c r="C29" s="23"/>
      <c r="D29" s="23"/>
      <c r="E29" s="413"/>
      <c r="F29" s="37"/>
      <c r="G29" s="37"/>
      <c r="H29" s="37"/>
      <c r="I29" s="37"/>
      <c r="J29" s="38"/>
      <c r="K29" s="23"/>
      <c r="L29" s="23"/>
      <c r="M29" s="23"/>
      <c r="N29" s="23"/>
      <c r="O29" s="30"/>
      <c r="P29" s="30"/>
      <c r="Q29" s="30"/>
      <c r="R29" s="23"/>
      <c r="S29" s="27"/>
    </row>
    <row r="30" spans="1:19" ht="17.25" customHeight="1">
      <c r="A30" s="22"/>
      <c r="B30" s="23"/>
      <c r="C30" s="23"/>
      <c r="D30" s="23"/>
      <c r="E30" s="418" t="s">
        <v>40</v>
      </c>
      <c r="F30" s="23"/>
      <c r="G30" s="23" t="s">
        <v>41</v>
      </c>
      <c r="H30" s="23"/>
      <c r="I30" s="23"/>
      <c r="J30" s="23"/>
      <c r="K30" s="23"/>
      <c r="L30" s="23"/>
      <c r="M30" s="23"/>
      <c r="N30" s="23"/>
      <c r="O30" s="418" t="s">
        <v>42</v>
      </c>
      <c r="P30" s="30"/>
      <c r="Q30" s="30"/>
      <c r="R30" s="419"/>
      <c r="S30" s="27"/>
    </row>
    <row r="31" spans="1:19" ht="17.25" customHeight="1">
      <c r="A31" s="22"/>
      <c r="B31" s="23"/>
      <c r="C31" s="23"/>
      <c r="D31" s="23"/>
      <c r="E31" s="417"/>
      <c r="F31" s="23"/>
      <c r="G31" s="329"/>
      <c r="H31" s="334"/>
      <c r="I31" s="335"/>
      <c r="J31" s="23"/>
      <c r="K31" s="23"/>
      <c r="L31" s="23"/>
      <c r="M31" s="23"/>
      <c r="N31" s="23"/>
      <c r="O31" s="117"/>
      <c r="P31" s="30"/>
      <c r="Q31" s="30"/>
      <c r="R31" s="420"/>
      <c r="S31" s="27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43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44</v>
      </c>
      <c r="B34" s="48"/>
      <c r="C34" s="48"/>
      <c r="D34" s="49"/>
      <c r="E34" s="50" t="s">
        <v>45</v>
      </c>
      <c r="F34" s="49"/>
      <c r="G34" s="50" t="s">
        <v>46</v>
      </c>
      <c r="H34" s="48"/>
      <c r="I34" s="49"/>
      <c r="J34" s="50" t="s">
        <v>47</v>
      </c>
      <c r="K34" s="48"/>
      <c r="L34" s="50" t="s">
        <v>48</v>
      </c>
      <c r="M34" s="48"/>
      <c r="N34" s="48"/>
      <c r="O34" s="49"/>
      <c r="P34" s="50" t="s">
        <v>49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50</v>
      </c>
      <c r="F36" s="44"/>
      <c r="G36" s="44"/>
      <c r="H36" s="44"/>
      <c r="I36" s="44"/>
      <c r="J36" s="61" t="s">
        <v>51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52</v>
      </c>
      <c r="B37" s="63"/>
      <c r="C37" s="64" t="s">
        <v>53</v>
      </c>
      <c r="D37" s="65"/>
      <c r="E37" s="65"/>
      <c r="F37" s="66"/>
      <c r="G37" s="62" t="s">
        <v>54</v>
      </c>
      <c r="H37" s="67"/>
      <c r="I37" s="64" t="s">
        <v>55</v>
      </c>
      <c r="J37" s="65"/>
      <c r="K37" s="65"/>
      <c r="L37" s="62" t="s">
        <v>56</v>
      </c>
      <c r="M37" s="67"/>
      <c r="N37" s="64" t="s">
        <v>57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58</v>
      </c>
      <c r="C38" s="26"/>
      <c r="D38" s="70" t="s">
        <v>59</v>
      </c>
      <c r="E38" s="71">
        <f>'SO01 Krycí list'!E38+'SO02 Krycí list'!E38</f>
        <v>0</v>
      </c>
      <c r="F38" s="72"/>
      <c r="G38" s="68">
        <v>8</v>
      </c>
      <c r="H38" s="73" t="s">
        <v>60</v>
      </c>
      <c r="I38" s="36"/>
      <c r="J38" s="74">
        <v>0</v>
      </c>
      <c r="K38" s="75"/>
      <c r="L38" s="68">
        <v>13</v>
      </c>
      <c r="M38" s="35" t="s">
        <v>61</v>
      </c>
      <c r="N38" s="39"/>
      <c r="O38" s="39"/>
      <c r="P38" s="76">
        <f>M49</f>
        <v>21</v>
      </c>
      <c r="Q38" s="77" t="s">
        <v>62</v>
      </c>
      <c r="R38" s="71">
        <f>'SO01 Krycí list'!R38+'SO02 Krycí list'!R38</f>
        <v>0</v>
      </c>
      <c r="S38" s="72"/>
    </row>
    <row r="39" spans="1:19" ht="20.25" customHeight="1">
      <c r="A39" s="68">
        <v>2</v>
      </c>
      <c r="B39" s="78"/>
      <c r="C39" s="38"/>
      <c r="D39" s="70" t="s">
        <v>63</v>
      </c>
      <c r="E39" s="71">
        <f>'SO01 Krycí list'!E39+'SO02 Krycí list'!E39</f>
        <v>0</v>
      </c>
      <c r="F39" s="72"/>
      <c r="G39" s="68">
        <v>9</v>
      </c>
      <c r="H39" s="23" t="s">
        <v>64</v>
      </c>
      <c r="I39" s="70"/>
      <c r="J39" s="74">
        <v>0</v>
      </c>
      <c r="K39" s="75"/>
      <c r="L39" s="68">
        <v>14</v>
      </c>
      <c r="M39" s="35" t="s">
        <v>65</v>
      </c>
      <c r="N39" s="39"/>
      <c r="O39" s="39"/>
      <c r="P39" s="76">
        <f>M49</f>
        <v>21</v>
      </c>
      <c r="Q39" s="77" t="s">
        <v>62</v>
      </c>
      <c r="R39" s="71">
        <v>0</v>
      </c>
      <c r="S39" s="72"/>
    </row>
    <row r="40" spans="1:19" ht="20.25" customHeight="1">
      <c r="A40" s="68">
        <v>3</v>
      </c>
      <c r="B40" s="69" t="s">
        <v>66</v>
      </c>
      <c r="C40" s="26"/>
      <c r="D40" s="70" t="s">
        <v>59</v>
      </c>
      <c r="E40" s="71">
        <f>'SO01 Krycí list'!E40+'SO02 Krycí list'!E40</f>
        <v>0</v>
      </c>
      <c r="F40" s="72"/>
      <c r="G40" s="68">
        <v>10</v>
      </c>
      <c r="H40" s="73" t="s">
        <v>67</v>
      </c>
      <c r="I40" s="36"/>
      <c r="J40" s="74">
        <v>0</v>
      </c>
      <c r="K40" s="75"/>
      <c r="L40" s="68">
        <v>15</v>
      </c>
      <c r="M40" s="35" t="s">
        <v>68</v>
      </c>
      <c r="N40" s="39"/>
      <c r="O40" s="39"/>
      <c r="P40" s="76">
        <f>M49</f>
        <v>21</v>
      </c>
      <c r="Q40" s="77" t="s">
        <v>62</v>
      </c>
      <c r="R40" s="71">
        <v>0</v>
      </c>
      <c r="S40" s="72"/>
    </row>
    <row r="41" spans="1:19" ht="20.25" customHeight="1">
      <c r="A41" s="68">
        <v>4</v>
      </c>
      <c r="B41" s="78"/>
      <c r="C41" s="38"/>
      <c r="D41" s="70" t="s">
        <v>63</v>
      </c>
      <c r="E41" s="71">
        <f>'SO01 Krycí list'!E41+'SO02 Krycí list'!E41</f>
        <v>0</v>
      </c>
      <c r="F41" s="72"/>
      <c r="G41" s="68">
        <v>11</v>
      </c>
      <c r="H41" s="73"/>
      <c r="I41" s="36"/>
      <c r="J41" s="74">
        <v>0</v>
      </c>
      <c r="K41" s="75"/>
      <c r="L41" s="68">
        <v>16</v>
      </c>
      <c r="M41" s="35" t="s">
        <v>69</v>
      </c>
      <c r="N41" s="39"/>
      <c r="O41" s="39"/>
      <c r="P41" s="76">
        <f>M49</f>
        <v>21</v>
      </c>
      <c r="Q41" s="77" t="s">
        <v>62</v>
      </c>
      <c r="R41" s="71">
        <f>'SO01 Krycí list'!R41+'SO02 Krycí list'!R41</f>
        <v>0</v>
      </c>
      <c r="S41" s="72"/>
    </row>
    <row r="42" spans="1:19" ht="20.25" customHeight="1">
      <c r="A42" s="68">
        <v>5</v>
      </c>
      <c r="B42" s="69" t="s">
        <v>70</v>
      </c>
      <c r="C42" s="26"/>
      <c r="D42" s="70" t="s">
        <v>59</v>
      </c>
      <c r="E42" s="71">
        <f>'[1]SO01 Krycí list'!E42+'[1]SO02 Krycí list'!E42</f>
        <v>0</v>
      </c>
      <c r="F42" s="72"/>
      <c r="G42" s="79"/>
      <c r="H42" s="39"/>
      <c r="I42" s="36"/>
      <c r="J42" s="80"/>
      <c r="K42" s="75"/>
      <c r="L42" s="68">
        <v>17</v>
      </c>
      <c r="M42" s="35" t="s">
        <v>11</v>
      </c>
      <c r="N42" s="39"/>
      <c r="O42" s="39"/>
      <c r="P42" s="76">
        <f>M49</f>
        <v>21</v>
      </c>
      <c r="Q42" s="77" t="s">
        <v>62</v>
      </c>
      <c r="R42" s="71">
        <v>0</v>
      </c>
      <c r="S42" s="72"/>
    </row>
    <row r="43" spans="1:19" ht="20.25" customHeight="1">
      <c r="A43" s="68">
        <v>6</v>
      </c>
      <c r="B43" s="78"/>
      <c r="C43" s="38"/>
      <c r="D43" s="70" t="s">
        <v>63</v>
      </c>
      <c r="E43" s="71">
        <f>'[1]SO01 Krycí list'!E43+'[1]SO02 Krycí list'!E43</f>
        <v>0</v>
      </c>
      <c r="F43" s="72"/>
      <c r="G43" s="79"/>
      <c r="H43" s="39"/>
      <c r="I43" s="36"/>
      <c r="J43" s="80"/>
      <c r="K43" s="75"/>
      <c r="L43" s="68">
        <v>18</v>
      </c>
      <c r="M43" s="73" t="s">
        <v>71</v>
      </c>
      <c r="N43" s="39"/>
      <c r="O43" s="39"/>
      <c r="P43" s="39"/>
      <c r="Q43" s="36"/>
      <c r="R43" s="71">
        <f>'SO01 Krycí list'!R43+'SO02 Krycí list'!R43</f>
        <v>0</v>
      </c>
      <c r="S43" s="72"/>
    </row>
    <row r="44" spans="1:19" ht="20.25" customHeight="1">
      <c r="A44" s="68">
        <v>7</v>
      </c>
      <c r="B44" s="81" t="s">
        <v>72</v>
      </c>
      <c r="C44" s="39"/>
      <c r="D44" s="36"/>
      <c r="E44" s="82">
        <f>SUM(E38:E43)</f>
        <v>0</v>
      </c>
      <c r="F44" s="46"/>
      <c r="G44" s="68">
        <v>12</v>
      </c>
      <c r="H44" s="81" t="s">
        <v>73</v>
      </c>
      <c r="I44" s="36"/>
      <c r="J44" s="83">
        <f>SUM(J38:J41)</f>
        <v>0</v>
      </c>
      <c r="K44" s="84"/>
      <c r="L44" s="68">
        <v>19</v>
      </c>
      <c r="M44" s="69" t="s">
        <v>74</v>
      </c>
      <c r="N44" s="34"/>
      <c r="O44" s="34"/>
      <c r="P44" s="34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13</v>
      </c>
      <c r="C45" s="88"/>
      <c r="D45" s="89"/>
      <c r="E45" s="90">
        <f>'SO01 Krycí list'!E45+'SO02 Krycí list'!E45</f>
        <v>0</v>
      </c>
      <c r="F45" s="42"/>
      <c r="G45" s="86">
        <v>21</v>
      </c>
      <c r="H45" s="87" t="s">
        <v>75</v>
      </c>
      <c r="I45" s="89"/>
      <c r="J45" s="91">
        <v>0</v>
      </c>
      <c r="K45" s="92">
        <f>M49</f>
        <v>21</v>
      </c>
      <c r="L45" s="86">
        <v>22</v>
      </c>
      <c r="M45" s="87" t="s">
        <v>76</v>
      </c>
      <c r="N45" s="88"/>
      <c r="O45" s="88"/>
      <c r="P45" s="88"/>
      <c r="Q45" s="89"/>
      <c r="R45" s="90">
        <f>'SO01 Krycí list'!R45+'SO02 Krycí list'!R45</f>
        <v>0</v>
      </c>
      <c r="S45" s="42"/>
    </row>
    <row r="46" spans="1:19" ht="20.25" customHeight="1">
      <c r="A46" s="93" t="s">
        <v>38</v>
      </c>
      <c r="B46" s="20"/>
      <c r="C46" s="20"/>
      <c r="D46" s="20"/>
      <c r="E46" s="20"/>
      <c r="F46" s="94"/>
      <c r="G46" s="95"/>
      <c r="H46" s="20"/>
      <c r="I46" s="20"/>
      <c r="J46" s="20"/>
      <c r="K46" s="20"/>
      <c r="L46" s="62" t="s">
        <v>77</v>
      </c>
      <c r="M46" s="49"/>
      <c r="N46" s="64" t="s">
        <v>78</v>
      </c>
      <c r="O46" s="48"/>
      <c r="P46" s="48"/>
      <c r="Q46" s="48"/>
      <c r="R46" s="48"/>
      <c r="S46" s="51"/>
    </row>
    <row r="47" spans="1:19" ht="20.25" customHeight="1">
      <c r="A47" s="22"/>
      <c r="B47" s="23"/>
      <c r="C47" s="23"/>
      <c r="D47" s="23"/>
      <c r="E47" s="23"/>
      <c r="F47" s="28"/>
      <c r="G47" s="96"/>
      <c r="H47" s="23"/>
      <c r="I47" s="23"/>
      <c r="J47" s="23"/>
      <c r="K47" s="23"/>
      <c r="L47" s="68">
        <v>23</v>
      </c>
      <c r="M47" s="73" t="s">
        <v>79</v>
      </c>
      <c r="N47" s="39"/>
      <c r="O47" s="39"/>
      <c r="P47" s="39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80</v>
      </c>
      <c r="B48" s="37"/>
      <c r="C48" s="37"/>
      <c r="D48" s="37"/>
      <c r="E48" s="37"/>
      <c r="F48" s="38"/>
      <c r="G48" s="99" t="s">
        <v>81</v>
      </c>
      <c r="H48" s="37"/>
      <c r="I48" s="37"/>
      <c r="J48" s="37"/>
      <c r="K48" s="37"/>
      <c r="L48" s="68">
        <v>24</v>
      </c>
      <c r="M48" s="100">
        <v>15</v>
      </c>
      <c r="N48" s="38" t="s">
        <v>62</v>
      </c>
      <c r="O48" s="101">
        <v>0</v>
      </c>
      <c r="P48" s="39" t="s">
        <v>82</v>
      </c>
      <c r="Q48" s="36"/>
      <c r="R48" s="102">
        <f>ROUNDUP(O48*M48/100,1)</f>
        <v>0</v>
      </c>
      <c r="S48" s="103">
        <f>O48*M48/100</f>
        <v>0</v>
      </c>
    </row>
    <row r="49" spans="1:19" ht="20.25" customHeight="1" thickBot="1">
      <c r="A49" s="104" t="s">
        <v>37</v>
      </c>
      <c r="B49" s="34"/>
      <c r="C49" s="34"/>
      <c r="D49" s="34"/>
      <c r="E49" s="34"/>
      <c r="F49" s="26"/>
      <c r="G49" s="105"/>
      <c r="H49" s="34"/>
      <c r="I49" s="34"/>
      <c r="J49" s="34"/>
      <c r="K49" s="34"/>
      <c r="L49" s="68">
        <v>25</v>
      </c>
      <c r="M49" s="106">
        <v>21</v>
      </c>
      <c r="N49" s="36" t="s">
        <v>62</v>
      </c>
      <c r="O49" s="101">
        <f>R47</f>
        <v>0</v>
      </c>
      <c r="P49" s="39" t="s">
        <v>82</v>
      </c>
      <c r="Q49" s="36"/>
      <c r="R49" s="71">
        <f>ROUNDUP(O49*M49/100,1)</f>
        <v>0</v>
      </c>
      <c r="S49" s="107">
        <f>O49*M49/100</f>
        <v>0</v>
      </c>
    </row>
    <row r="50" spans="1:19" ht="20.25" customHeight="1" thickBot="1">
      <c r="A50" s="22"/>
      <c r="B50" s="23"/>
      <c r="C50" s="23"/>
      <c r="D50" s="23"/>
      <c r="E50" s="23"/>
      <c r="F50" s="28"/>
      <c r="G50" s="96"/>
      <c r="H50" s="23"/>
      <c r="I50" s="23"/>
      <c r="J50" s="23"/>
      <c r="K50" s="23"/>
      <c r="L50" s="86">
        <v>26</v>
      </c>
      <c r="M50" s="108" t="s">
        <v>83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80</v>
      </c>
      <c r="B51" s="37"/>
      <c r="C51" s="37"/>
      <c r="D51" s="37"/>
      <c r="E51" s="37"/>
      <c r="F51" s="38"/>
      <c r="G51" s="99" t="s">
        <v>81</v>
      </c>
      <c r="H51" s="37"/>
      <c r="I51" s="37"/>
      <c r="J51" s="37"/>
      <c r="K51" s="37"/>
      <c r="L51" s="62" t="s">
        <v>84</v>
      </c>
      <c r="M51" s="49"/>
      <c r="N51" s="64" t="s">
        <v>85</v>
      </c>
      <c r="O51" s="48"/>
      <c r="P51" s="48"/>
      <c r="Q51" s="48"/>
      <c r="R51" s="112"/>
      <c r="S51" s="51"/>
    </row>
    <row r="52" spans="1:19" ht="20.25" customHeight="1">
      <c r="A52" s="104" t="s">
        <v>39</v>
      </c>
      <c r="B52" s="34"/>
      <c r="C52" s="34"/>
      <c r="D52" s="34"/>
      <c r="E52" s="34"/>
      <c r="F52" s="26"/>
      <c r="G52" s="105"/>
      <c r="H52" s="34"/>
      <c r="I52" s="34"/>
      <c r="J52" s="34"/>
      <c r="K52" s="34"/>
      <c r="L52" s="68">
        <v>27</v>
      </c>
      <c r="M52" s="73" t="s">
        <v>86</v>
      </c>
      <c r="N52" s="39"/>
      <c r="O52" s="39"/>
      <c r="P52" s="39"/>
      <c r="Q52" s="36"/>
      <c r="R52" s="71">
        <v>0</v>
      </c>
      <c r="S52" s="72"/>
    </row>
    <row r="53" spans="1:19" ht="20.25" customHeight="1">
      <c r="A53" s="22"/>
      <c r="B53" s="23"/>
      <c r="C53" s="23"/>
      <c r="D53" s="23"/>
      <c r="E53" s="23"/>
      <c r="F53" s="28"/>
      <c r="G53" s="96"/>
      <c r="H53" s="23"/>
      <c r="I53" s="23"/>
      <c r="J53" s="23"/>
      <c r="K53" s="23"/>
      <c r="L53" s="68">
        <v>28</v>
      </c>
      <c r="M53" s="73" t="s">
        <v>87</v>
      </c>
      <c r="N53" s="39"/>
      <c r="O53" s="39"/>
      <c r="P53" s="39"/>
      <c r="Q53" s="36"/>
      <c r="R53" s="71">
        <v>0</v>
      </c>
      <c r="S53" s="72"/>
    </row>
    <row r="54" spans="1:19" ht="20.25" customHeight="1">
      <c r="A54" s="113" t="s">
        <v>80</v>
      </c>
      <c r="B54" s="41"/>
      <c r="C54" s="41"/>
      <c r="D54" s="41"/>
      <c r="E54" s="41"/>
      <c r="F54" s="114"/>
      <c r="G54" s="115" t="s">
        <v>81</v>
      </c>
      <c r="H54" s="41"/>
      <c r="I54" s="41"/>
      <c r="J54" s="41"/>
      <c r="K54" s="41"/>
      <c r="L54" s="86">
        <v>29</v>
      </c>
      <c r="M54" s="87" t="s">
        <v>88</v>
      </c>
      <c r="N54" s="88"/>
      <c r="O54" s="88"/>
      <c r="P54" s="88"/>
      <c r="Q54" s="89"/>
      <c r="R54" s="55">
        <v>0</v>
      </c>
      <c r="S54" s="116"/>
    </row>
  </sheetData>
  <sheetProtection password="EF31" sheet="1" objects="1" scenarios="1" selectLockedCells="1"/>
  <mergeCells count="4">
    <mergeCell ref="E5:J5"/>
    <mergeCell ref="E7:J7"/>
    <mergeCell ref="E9:J9"/>
    <mergeCell ref="P9:R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zoomScale="130" zoomScaleSheetLayoutView="130" workbookViewId="0" topLeftCell="A40">
      <selection activeCell="E28" sqref="E28"/>
    </sheetView>
  </sheetViews>
  <sheetFormatPr defaultColWidth="9.33203125" defaultRowHeight="12.75" customHeight="1"/>
  <cols>
    <col min="1" max="1" width="2.83203125" style="132" customWidth="1"/>
    <col min="2" max="2" width="2.16015625" style="132" customWidth="1"/>
    <col min="3" max="3" width="3.16015625" style="132" customWidth="1"/>
    <col min="4" max="4" width="8" style="132" customWidth="1"/>
    <col min="5" max="5" width="15.83203125" style="132" customWidth="1"/>
    <col min="6" max="6" width="0.65625" style="132" customWidth="1"/>
    <col min="7" max="7" width="3" style="132" customWidth="1"/>
    <col min="8" max="8" width="3.16015625" style="132" customWidth="1"/>
    <col min="9" max="9" width="11.33203125" style="132" customWidth="1"/>
    <col min="10" max="10" width="15.83203125" style="132" customWidth="1"/>
    <col min="11" max="11" width="0.82421875" style="132" customWidth="1"/>
    <col min="12" max="12" width="2.83203125" style="132" customWidth="1"/>
    <col min="13" max="13" width="3.33203125" style="132" customWidth="1"/>
    <col min="14" max="14" width="2.33203125" style="132" customWidth="1"/>
    <col min="15" max="15" width="14.83203125" style="132" customWidth="1"/>
    <col min="16" max="16" width="3.33203125" style="132" customWidth="1"/>
    <col min="17" max="17" width="2.33203125" style="132" customWidth="1"/>
    <col min="18" max="18" width="15.83203125" style="132" customWidth="1"/>
    <col min="19" max="19" width="0.65625" style="132" customWidth="1"/>
    <col min="20" max="16384" width="9.33203125" style="132" customWidth="1"/>
  </cols>
  <sheetData>
    <row r="1" spans="1:19" ht="12" customHeight="1" hidden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23.25" customHeight="1">
      <c r="A2" s="129"/>
      <c r="B2" s="130"/>
      <c r="C2" s="130"/>
      <c r="D2" s="130"/>
      <c r="E2" s="130"/>
      <c r="F2" s="130"/>
      <c r="G2" s="133" t="s">
        <v>22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1:19" ht="12" customHeight="1" hidden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</row>
    <row r="4" spans="1:19" ht="8.2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19" ht="24" customHeight="1">
      <c r="A5" s="140"/>
      <c r="B5" s="141" t="s">
        <v>23</v>
      </c>
      <c r="C5" s="141"/>
      <c r="D5" s="141"/>
      <c r="E5" s="446" t="s">
        <v>466</v>
      </c>
      <c r="F5" s="447"/>
      <c r="G5" s="447"/>
      <c r="H5" s="447"/>
      <c r="I5" s="447"/>
      <c r="J5" s="448"/>
      <c r="K5" s="141"/>
      <c r="L5" s="141"/>
      <c r="M5" s="141"/>
      <c r="N5" s="141"/>
      <c r="O5" s="141" t="s">
        <v>24</v>
      </c>
      <c r="P5" s="142" t="s">
        <v>25</v>
      </c>
      <c r="Q5" s="143"/>
      <c r="R5" s="144"/>
      <c r="S5" s="145"/>
    </row>
    <row r="6" spans="1:19" ht="17.25" customHeight="1" hidden="1">
      <c r="A6" s="140"/>
      <c r="B6" s="141" t="s">
        <v>26</v>
      </c>
      <c r="C6" s="141"/>
      <c r="D6" s="141"/>
      <c r="E6" s="414" t="s">
        <v>15</v>
      </c>
      <c r="F6" s="141"/>
      <c r="G6" s="141"/>
      <c r="H6" s="141"/>
      <c r="I6" s="141"/>
      <c r="J6" s="146"/>
      <c r="K6" s="141"/>
      <c r="L6" s="141"/>
      <c r="M6" s="141"/>
      <c r="N6" s="141"/>
      <c r="O6" s="141"/>
      <c r="P6" s="147"/>
      <c r="Q6" s="148"/>
      <c r="R6" s="146"/>
      <c r="S6" s="145"/>
    </row>
    <row r="7" spans="1:19" ht="24" customHeight="1">
      <c r="A7" s="140"/>
      <c r="B7" s="141" t="s">
        <v>27</v>
      </c>
      <c r="C7" s="141"/>
      <c r="D7" s="141"/>
      <c r="E7" s="449" t="s">
        <v>28</v>
      </c>
      <c r="F7" s="450"/>
      <c r="G7" s="450"/>
      <c r="H7" s="450"/>
      <c r="I7" s="450"/>
      <c r="J7" s="451"/>
      <c r="K7" s="141"/>
      <c r="L7" s="141"/>
      <c r="M7" s="141"/>
      <c r="N7" s="141"/>
      <c r="O7" s="256" t="s">
        <v>19</v>
      </c>
      <c r="P7" s="149"/>
      <c r="Q7" s="148"/>
      <c r="R7" s="314" t="str">
        <f>Rekapitulace!H17</f>
        <v>45112000-5</v>
      </c>
      <c r="S7" s="145"/>
    </row>
    <row r="8" spans="1:19" ht="17.25" customHeight="1" hidden="1">
      <c r="A8" s="140"/>
      <c r="B8" s="141" t="s">
        <v>29</v>
      </c>
      <c r="C8" s="141"/>
      <c r="D8" s="141"/>
      <c r="E8" s="414" t="s">
        <v>16</v>
      </c>
      <c r="F8" s="141"/>
      <c r="G8" s="141"/>
      <c r="H8" s="141"/>
      <c r="I8" s="141"/>
      <c r="J8" s="146"/>
      <c r="K8" s="141"/>
      <c r="L8" s="141"/>
      <c r="M8" s="141"/>
      <c r="N8" s="141"/>
      <c r="O8" s="141"/>
      <c r="P8" s="147"/>
      <c r="Q8" s="148"/>
      <c r="R8" s="146"/>
      <c r="S8" s="145"/>
    </row>
    <row r="9" spans="1:19" ht="24" customHeight="1">
      <c r="A9" s="140"/>
      <c r="B9" s="141" t="s">
        <v>30</v>
      </c>
      <c r="C9" s="141"/>
      <c r="D9" s="141"/>
      <c r="E9" s="452" t="str">
        <f>'Stavební část Krycí list'!E9:J9</f>
        <v>Stavební část</v>
      </c>
      <c r="F9" s="453"/>
      <c r="G9" s="453"/>
      <c r="H9" s="453"/>
      <c r="I9" s="453"/>
      <c r="J9" s="454"/>
      <c r="K9" s="141"/>
      <c r="L9" s="141"/>
      <c r="M9" s="141"/>
      <c r="N9" s="141"/>
      <c r="O9" s="141" t="s">
        <v>31</v>
      </c>
      <c r="P9" s="455"/>
      <c r="Q9" s="453"/>
      <c r="R9" s="454"/>
      <c r="S9" s="145"/>
    </row>
    <row r="10" spans="1:19" ht="17.25" customHeight="1" hidden="1">
      <c r="A10" s="140"/>
      <c r="B10" s="141" t="s">
        <v>32</v>
      </c>
      <c r="C10" s="141"/>
      <c r="D10" s="141"/>
      <c r="E10" s="150" t="s">
        <v>25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8"/>
      <c r="Q10" s="148"/>
      <c r="R10" s="141"/>
      <c r="S10" s="145"/>
    </row>
    <row r="11" spans="1:19" ht="17.25" customHeight="1" hidden="1">
      <c r="A11" s="140"/>
      <c r="B11" s="141" t="s">
        <v>33</v>
      </c>
      <c r="C11" s="141"/>
      <c r="D11" s="141"/>
      <c r="E11" s="150" t="s">
        <v>25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8"/>
      <c r="Q11" s="148"/>
      <c r="R11" s="141"/>
      <c r="S11" s="145"/>
    </row>
    <row r="12" spans="1:19" ht="17.25" customHeight="1" hidden="1">
      <c r="A12" s="140"/>
      <c r="B12" s="141" t="s">
        <v>34</v>
      </c>
      <c r="C12" s="141"/>
      <c r="D12" s="141"/>
      <c r="E12" s="150" t="s">
        <v>25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8"/>
      <c r="Q12" s="148"/>
      <c r="R12" s="141"/>
      <c r="S12" s="145"/>
    </row>
    <row r="13" spans="1:19" ht="17.25" customHeight="1" hidden="1">
      <c r="A13" s="140"/>
      <c r="B13" s="141"/>
      <c r="C13" s="141"/>
      <c r="D13" s="141"/>
      <c r="E13" s="150" t="s">
        <v>25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8"/>
      <c r="Q13" s="148"/>
      <c r="R13" s="141"/>
      <c r="S13" s="145"/>
    </row>
    <row r="14" spans="1:19" ht="17.25" customHeight="1" hidden="1">
      <c r="A14" s="140"/>
      <c r="B14" s="141"/>
      <c r="C14" s="141"/>
      <c r="D14" s="141"/>
      <c r="E14" s="150" t="s">
        <v>25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8"/>
      <c r="Q14" s="148"/>
      <c r="R14" s="141"/>
      <c r="S14" s="145"/>
    </row>
    <row r="15" spans="1:19" ht="17.25" customHeight="1" hidden="1">
      <c r="A15" s="140"/>
      <c r="B15" s="141"/>
      <c r="C15" s="141"/>
      <c r="D15" s="141"/>
      <c r="E15" s="150" t="s">
        <v>25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8"/>
      <c r="Q15" s="148"/>
      <c r="R15" s="141"/>
      <c r="S15" s="145"/>
    </row>
    <row r="16" spans="1:19" ht="17.25" customHeight="1" hidden="1">
      <c r="A16" s="140"/>
      <c r="B16" s="141"/>
      <c r="C16" s="141"/>
      <c r="D16" s="141"/>
      <c r="E16" s="150" t="s">
        <v>25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8"/>
      <c r="Q16" s="148"/>
      <c r="R16" s="141"/>
      <c r="S16" s="145"/>
    </row>
    <row r="17" spans="1:19" ht="17.25" customHeight="1" hidden="1">
      <c r="A17" s="140"/>
      <c r="B17" s="141"/>
      <c r="C17" s="141"/>
      <c r="D17" s="141"/>
      <c r="E17" s="150" t="s">
        <v>25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8"/>
      <c r="Q17" s="148"/>
      <c r="R17" s="141"/>
      <c r="S17" s="145"/>
    </row>
    <row r="18" spans="1:19" ht="17.25" customHeight="1" hidden="1">
      <c r="A18" s="140"/>
      <c r="B18" s="141"/>
      <c r="C18" s="141"/>
      <c r="D18" s="141"/>
      <c r="E18" s="150" t="s">
        <v>25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8"/>
      <c r="Q18" s="148"/>
      <c r="R18" s="141"/>
      <c r="S18" s="145"/>
    </row>
    <row r="19" spans="1:19" ht="17.25" customHeight="1" hidden="1">
      <c r="A19" s="140"/>
      <c r="B19" s="141"/>
      <c r="C19" s="141"/>
      <c r="D19" s="141"/>
      <c r="E19" s="150" t="s">
        <v>25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8"/>
      <c r="Q19" s="148"/>
      <c r="R19" s="141"/>
      <c r="S19" s="145"/>
    </row>
    <row r="20" spans="1:19" ht="17.25" customHeight="1" hidden="1">
      <c r="A20" s="140"/>
      <c r="B20" s="141"/>
      <c r="C20" s="141"/>
      <c r="D20" s="141"/>
      <c r="E20" s="150" t="s">
        <v>25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8"/>
      <c r="Q20" s="148"/>
      <c r="R20" s="141"/>
      <c r="S20" s="145"/>
    </row>
    <row r="21" spans="1:19" ht="17.25" customHeight="1" hidden="1">
      <c r="A21" s="140"/>
      <c r="B21" s="141"/>
      <c r="C21" s="141"/>
      <c r="D21" s="141"/>
      <c r="E21" s="150" t="s">
        <v>25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8"/>
      <c r="Q21" s="148"/>
      <c r="R21" s="141"/>
      <c r="S21" s="145"/>
    </row>
    <row r="22" spans="1:19" ht="17.25" customHeight="1" hidden="1">
      <c r="A22" s="140"/>
      <c r="B22" s="141"/>
      <c r="C22" s="141"/>
      <c r="D22" s="141"/>
      <c r="E22" s="150" t="s">
        <v>25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8"/>
      <c r="Q22" s="148"/>
      <c r="R22" s="141"/>
      <c r="S22" s="145"/>
    </row>
    <row r="23" spans="1:19" ht="17.25" customHeight="1" hidden="1">
      <c r="A23" s="140"/>
      <c r="B23" s="141"/>
      <c r="C23" s="141"/>
      <c r="D23" s="141"/>
      <c r="E23" s="150" t="s">
        <v>25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8"/>
      <c r="Q23" s="148"/>
      <c r="R23" s="141"/>
      <c r="S23" s="145"/>
    </row>
    <row r="24" spans="1:19" ht="17.25" customHeight="1" hidden="1">
      <c r="A24" s="140"/>
      <c r="B24" s="141"/>
      <c r="C24" s="141"/>
      <c r="D24" s="141"/>
      <c r="E24" s="151" t="s">
        <v>25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8"/>
      <c r="Q24" s="148"/>
      <c r="R24" s="141"/>
      <c r="S24" s="145"/>
    </row>
    <row r="25" spans="1:19" ht="17.2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 t="s">
        <v>35</v>
      </c>
      <c r="P25" s="141" t="s">
        <v>36</v>
      </c>
      <c r="Q25" s="141"/>
      <c r="R25" s="141"/>
      <c r="S25" s="145"/>
    </row>
    <row r="26" spans="1:19" ht="17.25" customHeight="1">
      <c r="A26" s="140"/>
      <c r="B26" s="141" t="s">
        <v>37</v>
      </c>
      <c r="C26" s="141"/>
      <c r="D26" s="141"/>
      <c r="E26" s="142" t="str">
        <f>'Stavební část Krycí list'!E26</f>
        <v>Ministerstvo financí ČR</v>
      </c>
      <c r="F26" s="152"/>
      <c r="G26" s="152"/>
      <c r="H26" s="152"/>
      <c r="I26" s="152"/>
      <c r="J26" s="144"/>
      <c r="K26" s="141"/>
      <c r="L26" s="141"/>
      <c r="M26" s="141"/>
      <c r="N26" s="141"/>
      <c r="O26" s="377"/>
      <c r="P26" s="378"/>
      <c r="Q26" s="379"/>
      <c r="R26" s="380"/>
      <c r="S26" s="145"/>
    </row>
    <row r="27" spans="1:19" ht="17.25" customHeight="1">
      <c r="A27" s="140"/>
      <c r="B27" s="141" t="s">
        <v>38</v>
      </c>
      <c r="C27" s="141"/>
      <c r="D27" s="141"/>
      <c r="E27" s="381"/>
      <c r="F27" s="376"/>
      <c r="G27" s="376"/>
      <c r="H27" s="376"/>
      <c r="I27" s="376"/>
      <c r="J27" s="382"/>
      <c r="K27" s="141"/>
      <c r="L27" s="141"/>
      <c r="M27" s="141"/>
      <c r="N27" s="141"/>
      <c r="O27" s="377"/>
      <c r="P27" s="378"/>
      <c r="Q27" s="379"/>
      <c r="R27" s="380"/>
      <c r="S27" s="145"/>
    </row>
    <row r="28" spans="1:19" ht="17.25" customHeight="1">
      <c r="A28" s="140"/>
      <c r="B28" s="141" t="s">
        <v>39</v>
      </c>
      <c r="C28" s="141"/>
      <c r="D28" s="141"/>
      <c r="E28" s="381" t="s">
        <v>25</v>
      </c>
      <c r="F28" s="376"/>
      <c r="G28" s="376"/>
      <c r="H28" s="376"/>
      <c r="I28" s="376"/>
      <c r="J28" s="382"/>
      <c r="K28" s="141"/>
      <c r="L28" s="141"/>
      <c r="M28" s="141"/>
      <c r="N28" s="141"/>
      <c r="O28" s="377"/>
      <c r="P28" s="378"/>
      <c r="Q28" s="379"/>
      <c r="R28" s="380"/>
      <c r="S28" s="145"/>
    </row>
    <row r="29" spans="1:19" ht="17.25" customHeight="1">
      <c r="A29" s="140"/>
      <c r="B29" s="141"/>
      <c r="C29" s="141"/>
      <c r="D29" s="141"/>
      <c r="E29" s="415"/>
      <c r="F29" s="155"/>
      <c r="G29" s="155"/>
      <c r="H29" s="155"/>
      <c r="I29" s="155"/>
      <c r="J29" s="156"/>
      <c r="K29" s="141"/>
      <c r="L29" s="141"/>
      <c r="M29" s="141"/>
      <c r="N29" s="141"/>
      <c r="O29" s="148"/>
      <c r="P29" s="148"/>
      <c r="Q29" s="148"/>
      <c r="R29" s="141"/>
      <c r="S29" s="145"/>
    </row>
    <row r="30" spans="1:19" ht="17.25" customHeight="1">
      <c r="A30" s="140"/>
      <c r="B30" s="141"/>
      <c r="C30" s="141"/>
      <c r="D30" s="141"/>
      <c r="E30" s="427" t="s">
        <v>40</v>
      </c>
      <c r="F30" s="141"/>
      <c r="G30" s="141" t="s">
        <v>41</v>
      </c>
      <c r="H30" s="141"/>
      <c r="I30" s="141"/>
      <c r="J30" s="141"/>
      <c r="K30" s="141"/>
      <c r="L30" s="141"/>
      <c r="M30" s="141"/>
      <c r="N30" s="141"/>
      <c r="O30" s="427" t="s">
        <v>42</v>
      </c>
      <c r="P30" s="148"/>
      <c r="Q30" s="148"/>
      <c r="R30" s="428"/>
      <c r="S30" s="145"/>
    </row>
    <row r="31" spans="1:19" ht="17.25" customHeight="1">
      <c r="A31" s="140"/>
      <c r="B31" s="141"/>
      <c r="C31" s="141"/>
      <c r="D31" s="141"/>
      <c r="E31" s="426"/>
      <c r="F31" s="141"/>
      <c r="G31" s="378"/>
      <c r="H31" s="383"/>
      <c r="I31" s="384"/>
      <c r="J31" s="141"/>
      <c r="K31" s="141"/>
      <c r="L31" s="141"/>
      <c r="M31" s="141"/>
      <c r="N31" s="141"/>
      <c r="O31" s="385"/>
      <c r="P31" s="148"/>
      <c r="Q31" s="148"/>
      <c r="R31" s="429"/>
      <c r="S31" s="145"/>
    </row>
    <row r="32" spans="1:19" ht="8.2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</row>
    <row r="33" spans="1:19" ht="20.25" customHeight="1">
      <c r="A33" s="161"/>
      <c r="B33" s="162"/>
      <c r="C33" s="162"/>
      <c r="D33" s="162"/>
      <c r="E33" s="163" t="s">
        <v>43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4"/>
    </row>
    <row r="34" spans="1:19" ht="20.25" customHeight="1">
      <c r="A34" s="165" t="s">
        <v>44</v>
      </c>
      <c r="B34" s="166"/>
      <c r="C34" s="166"/>
      <c r="D34" s="167"/>
      <c r="E34" s="168" t="s">
        <v>45</v>
      </c>
      <c r="F34" s="167"/>
      <c r="G34" s="168" t="s">
        <v>46</v>
      </c>
      <c r="H34" s="166"/>
      <c r="I34" s="167"/>
      <c r="J34" s="168" t="s">
        <v>47</v>
      </c>
      <c r="K34" s="166"/>
      <c r="L34" s="168" t="s">
        <v>48</v>
      </c>
      <c r="M34" s="166"/>
      <c r="N34" s="166"/>
      <c r="O34" s="167"/>
      <c r="P34" s="168" t="s">
        <v>49</v>
      </c>
      <c r="Q34" s="166"/>
      <c r="R34" s="166"/>
      <c r="S34" s="169"/>
    </row>
    <row r="35" spans="1:19" ht="20.25" customHeight="1">
      <c r="A35" s="170"/>
      <c r="B35" s="171"/>
      <c r="C35" s="171"/>
      <c r="D35" s="172">
        <v>0</v>
      </c>
      <c r="E35" s="173">
        <f>IF(D35=0,0,R47/D35)</f>
        <v>0</v>
      </c>
      <c r="F35" s="174"/>
      <c r="G35" s="175"/>
      <c r="H35" s="171"/>
      <c r="I35" s="172">
        <v>0</v>
      </c>
      <c r="J35" s="173">
        <f>IF(I35=0,0,R47/I35)</f>
        <v>0</v>
      </c>
      <c r="K35" s="176"/>
      <c r="L35" s="175"/>
      <c r="M35" s="171"/>
      <c r="N35" s="171"/>
      <c r="O35" s="172">
        <v>0</v>
      </c>
      <c r="P35" s="175"/>
      <c r="Q35" s="171"/>
      <c r="R35" s="177">
        <f>IF(O35=0,0,R47/O35)</f>
        <v>0</v>
      </c>
      <c r="S35" s="178"/>
    </row>
    <row r="36" spans="1:19" ht="20.25" customHeight="1">
      <c r="A36" s="161"/>
      <c r="B36" s="162"/>
      <c r="C36" s="162"/>
      <c r="D36" s="162"/>
      <c r="E36" s="163" t="s">
        <v>50</v>
      </c>
      <c r="F36" s="162"/>
      <c r="G36" s="162"/>
      <c r="H36" s="162"/>
      <c r="I36" s="162"/>
      <c r="J36" s="179" t="s">
        <v>51</v>
      </c>
      <c r="K36" s="162"/>
      <c r="L36" s="162"/>
      <c r="M36" s="162"/>
      <c r="N36" s="162"/>
      <c r="O36" s="162"/>
      <c r="P36" s="162"/>
      <c r="Q36" s="162"/>
      <c r="R36" s="162"/>
      <c r="S36" s="164"/>
    </row>
    <row r="37" spans="1:19" ht="20.25" customHeight="1">
      <c r="A37" s="180" t="s">
        <v>52</v>
      </c>
      <c r="B37" s="181"/>
      <c r="C37" s="182" t="s">
        <v>53</v>
      </c>
      <c r="D37" s="183"/>
      <c r="E37" s="183"/>
      <c r="F37" s="184"/>
      <c r="G37" s="180" t="s">
        <v>54</v>
      </c>
      <c r="H37" s="185"/>
      <c r="I37" s="182" t="s">
        <v>55</v>
      </c>
      <c r="J37" s="183"/>
      <c r="K37" s="183"/>
      <c r="L37" s="180" t="s">
        <v>56</v>
      </c>
      <c r="M37" s="185"/>
      <c r="N37" s="182" t="s">
        <v>57</v>
      </c>
      <c r="O37" s="183"/>
      <c r="P37" s="183"/>
      <c r="Q37" s="183"/>
      <c r="R37" s="183"/>
      <c r="S37" s="184"/>
    </row>
    <row r="38" spans="1:19" ht="20.25" customHeight="1">
      <c r="A38" s="186">
        <v>1</v>
      </c>
      <c r="B38" s="187" t="s">
        <v>58</v>
      </c>
      <c r="C38" s="144"/>
      <c r="D38" s="188" t="s">
        <v>59</v>
      </c>
      <c r="E38" s="189">
        <f>SUMIF('SO01 Rozpocet'!O5:O182,8,'SO01 Rozpocet'!I5:I182)</f>
        <v>0</v>
      </c>
      <c r="F38" s="190"/>
      <c r="G38" s="186">
        <v>8</v>
      </c>
      <c r="H38" s="191" t="s">
        <v>60</v>
      </c>
      <c r="I38" s="154"/>
      <c r="J38" s="192">
        <v>0</v>
      </c>
      <c r="K38" s="193"/>
      <c r="L38" s="186">
        <v>13</v>
      </c>
      <c r="M38" s="153" t="s">
        <v>61</v>
      </c>
      <c r="N38" s="157"/>
      <c r="O38" s="157"/>
      <c r="P38" s="194">
        <f>M49</f>
        <v>21</v>
      </c>
      <c r="Q38" s="195" t="s">
        <v>62</v>
      </c>
      <c r="R38" s="189">
        <f>0.023*E44</f>
        <v>0</v>
      </c>
      <c r="S38" s="190"/>
    </row>
    <row r="39" spans="1:19" ht="20.25" customHeight="1">
      <c r="A39" s="186">
        <v>2</v>
      </c>
      <c r="B39" s="196"/>
      <c r="C39" s="156"/>
      <c r="D39" s="188" t="s">
        <v>63</v>
      </c>
      <c r="E39" s="189">
        <f>SUMIF('SO01 Rozpocet'!O10:O182,4,'SO01 Rozpocet'!I10:I182)</f>
        <v>0</v>
      </c>
      <c r="F39" s="190"/>
      <c r="G39" s="186">
        <v>9</v>
      </c>
      <c r="H39" s="141" t="s">
        <v>64</v>
      </c>
      <c r="I39" s="188"/>
      <c r="J39" s="192">
        <v>0</v>
      </c>
      <c r="K39" s="193"/>
      <c r="L39" s="186">
        <v>14</v>
      </c>
      <c r="M39" s="153" t="s">
        <v>65</v>
      </c>
      <c r="N39" s="157"/>
      <c r="O39" s="157"/>
      <c r="P39" s="194">
        <f>M49</f>
        <v>21</v>
      </c>
      <c r="Q39" s="195" t="s">
        <v>62</v>
      </c>
      <c r="R39" s="189">
        <v>0</v>
      </c>
      <c r="S39" s="190"/>
    </row>
    <row r="40" spans="1:19" ht="20.25" customHeight="1">
      <c r="A40" s="186">
        <v>3</v>
      </c>
      <c r="B40" s="187" t="s">
        <v>66</v>
      </c>
      <c r="C40" s="144"/>
      <c r="D40" s="188" t="s">
        <v>59</v>
      </c>
      <c r="E40" s="189">
        <f>SUMIF('SO01 Rozpocet'!O11:O182,32,'SO01 Rozpocet'!I11:I182)</f>
        <v>0</v>
      </c>
      <c r="F40" s="190"/>
      <c r="G40" s="186">
        <v>10</v>
      </c>
      <c r="H40" s="191" t="s">
        <v>67</v>
      </c>
      <c r="I40" s="154"/>
      <c r="J40" s="192">
        <v>0</v>
      </c>
      <c r="K40" s="193"/>
      <c r="L40" s="186">
        <v>15</v>
      </c>
      <c r="M40" s="153" t="s">
        <v>68</v>
      </c>
      <c r="N40" s="157"/>
      <c r="O40" s="157"/>
      <c r="P40" s="194">
        <f>M49</f>
        <v>21</v>
      </c>
      <c r="Q40" s="195" t="s">
        <v>62</v>
      </c>
      <c r="R40" s="189">
        <v>0</v>
      </c>
      <c r="S40" s="190"/>
    </row>
    <row r="41" spans="1:19" ht="20.25" customHeight="1">
      <c r="A41" s="186">
        <v>4</v>
      </c>
      <c r="B41" s="196"/>
      <c r="C41" s="156"/>
      <c r="D41" s="188" t="s">
        <v>63</v>
      </c>
      <c r="E41" s="189">
        <f>SUMIF('SO01 Rozpocet'!O12:O182,16,'SO01 Rozpocet'!I12:I182)+SUMIF('SO01 Rozpocet'!O12:O182,128,'SO01 Rozpocet'!I12:I182)</f>
        <v>0</v>
      </c>
      <c r="F41" s="190"/>
      <c r="G41" s="186">
        <v>11</v>
      </c>
      <c r="H41" s="191"/>
      <c r="I41" s="154"/>
      <c r="J41" s="192">
        <v>0</v>
      </c>
      <c r="K41" s="193"/>
      <c r="L41" s="186">
        <v>16</v>
      </c>
      <c r="M41" s="153" t="s">
        <v>69</v>
      </c>
      <c r="N41" s="157"/>
      <c r="O41" s="157"/>
      <c r="P41" s="194">
        <f>M49</f>
        <v>21</v>
      </c>
      <c r="Q41" s="195" t="s">
        <v>62</v>
      </c>
      <c r="R41" s="189">
        <f>0.02*E44</f>
        <v>0</v>
      </c>
      <c r="S41" s="190"/>
    </row>
    <row r="42" spans="1:19" ht="20.25" customHeight="1">
      <c r="A42" s="186">
        <v>5</v>
      </c>
      <c r="B42" s="187" t="s">
        <v>70</v>
      </c>
      <c r="C42" s="144"/>
      <c r="D42" s="188" t="s">
        <v>59</v>
      </c>
      <c r="E42" s="189">
        <f>SUMIF('SO01 Rozpocet'!O13:O182,256,'SO01 Rozpocet'!I13:I182)</f>
        <v>0</v>
      </c>
      <c r="F42" s="190"/>
      <c r="G42" s="197"/>
      <c r="H42" s="157"/>
      <c r="I42" s="154"/>
      <c r="J42" s="198"/>
      <c r="K42" s="193"/>
      <c r="L42" s="186">
        <v>17</v>
      </c>
      <c r="M42" s="153" t="s">
        <v>11</v>
      </c>
      <c r="N42" s="157"/>
      <c r="O42" s="157"/>
      <c r="P42" s="194">
        <f>M49</f>
        <v>21</v>
      </c>
      <c r="Q42" s="195" t="s">
        <v>62</v>
      </c>
      <c r="R42" s="189">
        <v>0</v>
      </c>
      <c r="S42" s="190"/>
    </row>
    <row r="43" spans="1:19" ht="20.25" customHeight="1">
      <c r="A43" s="186">
        <v>6</v>
      </c>
      <c r="B43" s="196"/>
      <c r="C43" s="156"/>
      <c r="D43" s="188" t="s">
        <v>63</v>
      </c>
      <c r="E43" s="189">
        <f>SUMIF('SO01 Rozpocet'!O14:O182,64,'SO01 Rozpocet'!I14:I182)</f>
        <v>0</v>
      </c>
      <c r="F43" s="190"/>
      <c r="G43" s="197"/>
      <c r="H43" s="157"/>
      <c r="I43" s="154"/>
      <c r="J43" s="198"/>
      <c r="K43" s="193"/>
      <c r="L43" s="186">
        <v>18</v>
      </c>
      <c r="M43" s="191" t="s">
        <v>71</v>
      </c>
      <c r="N43" s="157"/>
      <c r="O43" s="157"/>
      <c r="P43" s="157"/>
      <c r="Q43" s="154"/>
      <c r="R43" s="189">
        <f>SUMIF('SO01 Rozpocet'!O14:O182,1024,'SO01 Rozpocet'!I14:I182)</f>
        <v>0</v>
      </c>
      <c r="S43" s="190"/>
    </row>
    <row r="44" spans="1:19" ht="20.25" customHeight="1">
      <c r="A44" s="186">
        <v>7</v>
      </c>
      <c r="B44" s="199" t="s">
        <v>72</v>
      </c>
      <c r="C44" s="157"/>
      <c r="D44" s="154"/>
      <c r="E44" s="200">
        <f>SUM(E38:E43)</f>
        <v>0</v>
      </c>
      <c r="F44" s="164"/>
      <c r="G44" s="186">
        <v>12</v>
      </c>
      <c r="H44" s="199" t="s">
        <v>73</v>
      </c>
      <c r="I44" s="154"/>
      <c r="J44" s="201">
        <f>SUM(J38:J41)</f>
        <v>0</v>
      </c>
      <c r="K44" s="202"/>
      <c r="L44" s="186">
        <v>19</v>
      </c>
      <c r="M44" s="187" t="s">
        <v>74</v>
      </c>
      <c r="N44" s="152"/>
      <c r="O44" s="152"/>
      <c r="P44" s="152"/>
      <c r="Q44" s="203"/>
      <c r="R44" s="200">
        <f>SUM(R38:R43)</f>
        <v>0</v>
      </c>
      <c r="S44" s="164"/>
    </row>
    <row r="45" spans="1:19" ht="20.25" customHeight="1">
      <c r="A45" s="204">
        <v>20</v>
      </c>
      <c r="B45" s="205" t="s">
        <v>13</v>
      </c>
      <c r="C45" s="206"/>
      <c r="D45" s="207"/>
      <c r="E45" s="208">
        <f>SUMIF('SO01 Rozpocet'!O14:O182,512,'SO01 Rozpocet'!I14:I182)</f>
        <v>0</v>
      </c>
      <c r="F45" s="160"/>
      <c r="G45" s="204">
        <v>21</v>
      </c>
      <c r="H45" s="205" t="s">
        <v>75</v>
      </c>
      <c r="I45" s="207"/>
      <c r="J45" s="209">
        <v>0</v>
      </c>
      <c r="K45" s="210">
        <f>M49</f>
        <v>21</v>
      </c>
      <c r="L45" s="204">
        <v>22</v>
      </c>
      <c r="M45" s="205" t="s">
        <v>76</v>
      </c>
      <c r="N45" s="206"/>
      <c r="O45" s="206"/>
      <c r="P45" s="206"/>
      <c r="Q45" s="207"/>
      <c r="R45" s="208">
        <f>SUMIF('SO01 Rozpocet'!O14:O182,"&lt;4",'SO01 Rozpocet'!I14:I182)+SUMIF('SO01 Rozpocet'!O14:O182,"&gt;1024",'SO01 Rozpocet'!I14:I182)</f>
        <v>0</v>
      </c>
      <c r="S45" s="160"/>
    </row>
    <row r="46" spans="1:19" ht="20.25" customHeight="1">
      <c r="A46" s="211" t="s">
        <v>38</v>
      </c>
      <c r="B46" s="138"/>
      <c r="C46" s="138"/>
      <c r="D46" s="138"/>
      <c r="E46" s="138"/>
      <c r="F46" s="212"/>
      <c r="G46" s="213"/>
      <c r="H46" s="138"/>
      <c r="I46" s="138"/>
      <c r="J46" s="138"/>
      <c r="K46" s="138"/>
      <c r="L46" s="180" t="s">
        <v>77</v>
      </c>
      <c r="M46" s="167"/>
      <c r="N46" s="182" t="s">
        <v>78</v>
      </c>
      <c r="O46" s="166"/>
      <c r="P46" s="166"/>
      <c r="Q46" s="166"/>
      <c r="R46" s="166"/>
      <c r="S46" s="169"/>
    </row>
    <row r="47" spans="1:19" ht="20.25" customHeight="1">
      <c r="A47" s="140"/>
      <c r="B47" s="141"/>
      <c r="C47" s="141"/>
      <c r="D47" s="141"/>
      <c r="E47" s="141"/>
      <c r="F47" s="146"/>
      <c r="G47" s="214"/>
      <c r="H47" s="141"/>
      <c r="I47" s="141"/>
      <c r="J47" s="141"/>
      <c r="K47" s="141"/>
      <c r="L47" s="186">
        <v>23</v>
      </c>
      <c r="M47" s="191" t="s">
        <v>79</v>
      </c>
      <c r="N47" s="157"/>
      <c r="O47" s="157"/>
      <c r="P47" s="157"/>
      <c r="Q47" s="190"/>
      <c r="R47" s="200">
        <f>ROUND(E44+J44+R44+E45+J45+R45,2)</f>
        <v>0</v>
      </c>
      <c r="S47" s="215">
        <f>E44+J44+R44+E45+J45+R45</f>
        <v>0</v>
      </c>
    </row>
    <row r="48" spans="1:19" ht="20.25" customHeight="1">
      <c r="A48" s="216" t="s">
        <v>80</v>
      </c>
      <c r="B48" s="155"/>
      <c r="C48" s="155"/>
      <c r="D48" s="155"/>
      <c r="E48" s="155"/>
      <c r="F48" s="156"/>
      <c r="G48" s="217" t="s">
        <v>81</v>
      </c>
      <c r="H48" s="155"/>
      <c r="I48" s="155"/>
      <c r="J48" s="155"/>
      <c r="K48" s="155"/>
      <c r="L48" s="186">
        <v>24</v>
      </c>
      <c r="M48" s="218">
        <v>15</v>
      </c>
      <c r="N48" s="156" t="s">
        <v>62</v>
      </c>
      <c r="O48" s="219">
        <f>R47-O49</f>
        <v>0</v>
      </c>
      <c r="P48" s="157" t="s">
        <v>82</v>
      </c>
      <c r="Q48" s="154"/>
      <c r="R48" s="220">
        <f>ROUNDUP(O48*M48/100,1)</f>
        <v>0</v>
      </c>
      <c r="S48" s="221">
        <f>O48*M48/100</f>
        <v>0</v>
      </c>
    </row>
    <row r="49" spans="1:19" ht="20.25" customHeight="1" thickBot="1">
      <c r="A49" s="222" t="s">
        <v>37</v>
      </c>
      <c r="B49" s="152"/>
      <c r="C49" s="152"/>
      <c r="D49" s="152"/>
      <c r="E49" s="152"/>
      <c r="F49" s="144"/>
      <c r="G49" s="223"/>
      <c r="H49" s="152"/>
      <c r="I49" s="152"/>
      <c r="J49" s="152"/>
      <c r="K49" s="152"/>
      <c r="L49" s="186">
        <v>25</v>
      </c>
      <c r="M49" s="224">
        <v>21</v>
      </c>
      <c r="N49" s="154" t="s">
        <v>62</v>
      </c>
      <c r="O49" s="219">
        <f>ROUND(SUMIF('SO01 Rozpocet'!N14:N182,M49,'SO01 Rozpocet'!I14:I182)+SUMIF(P38:P42,M49,R38:R42)+IF(K45=M49,J45,0),2)</f>
        <v>0</v>
      </c>
      <c r="P49" s="157" t="s">
        <v>82</v>
      </c>
      <c r="Q49" s="154"/>
      <c r="R49" s="189">
        <f>ROUNDUP(O49*M49/100,1)</f>
        <v>0</v>
      </c>
      <c r="S49" s="225">
        <f>O49*M49/100</f>
        <v>0</v>
      </c>
    </row>
    <row r="50" spans="1:19" ht="20.25" customHeight="1" thickBot="1">
      <c r="A50" s="140"/>
      <c r="B50" s="141"/>
      <c r="C50" s="141"/>
      <c r="D50" s="141"/>
      <c r="E50" s="141"/>
      <c r="F50" s="146"/>
      <c r="G50" s="214"/>
      <c r="H50" s="141"/>
      <c r="I50" s="141"/>
      <c r="J50" s="141"/>
      <c r="K50" s="141"/>
      <c r="L50" s="204">
        <v>26</v>
      </c>
      <c r="M50" s="226" t="s">
        <v>83</v>
      </c>
      <c r="N50" s="206"/>
      <c r="O50" s="206"/>
      <c r="P50" s="206"/>
      <c r="Q50" s="227"/>
      <c r="R50" s="228">
        <f>R47+R48+R49</f>
        <v>0</v>
      </c>
      <c r="S50" s="229"/>
    </row>
    <row r="51" spans="1:19" ht="20.25" customHeight="1">
      <c r="A51" s="216" t="s">
        <v>80</v>
      </c>
      <c r="B51" s="155"/>
      <c r="C51" s="155"/>
      <c r="D51" s="155"/>
      <c r="E51" s="155"/>
      <c r="F51" s="156"/>
      <c r="G51" s="217" t="s">
        <v>81</v>
      </c>
      <c r="H51" s="155"/>
      <c r="I51" s="155"/>
      <c r="J51" s="155"/>
      <c r="K51" s="155"/>
      <c r="L51" s="180" t="s">
        <v>84</v>
      </c>
      <c r="M51" s="167"/>
      <c r="N51" s="182" t="s">
        <v>85</v>
      </c>
      <c r="O51" s="166"/>
      <c r="P51" s="166"/>
      <c r="Q51" s="166"/>
      <c r="R51" s="230"/>
      <c r="S51" s="169"/>
    </row>
    <row r="52" spans="1:19" ht="20.25" customHeight="1">
      <c r="A52" s="222" t="s">
        <v>39</v>
      </c>
      <c r="B52" s="152"/>
      <c r="C52" s="152"/>
      <c r="D52" s="152"/>
      <c r="E52" s="152"/>
      <c r="F52" s="144"/>
      <c r="G52" s="223"/>
      <c r="H52" s="152"/>
      <c r="I52" s="152"/>
      <c r="J52" s="152"/>
      <c r="K52" s="152"/>
      <c r="L52" s="186">
        <v>27</v>
      </c>
      <c r="M52" s="191" t="s">
        <v>86</v>
      </c>
      <c r="N52" s="157"/>
      <c r="O52" s="157"/>
      <c r="P52" s="157"/>
      <c r="Q52" s="154"/>
      <c r="R52" s="189">
        <v>0</v>
      </c>
      <c r="S52" s="190"/>
    </row>
    <row r="53" spans="1:19" ht="20.25" customHeight="1">
      <c r="A53" s="140"/>
      <c r="B53" s="141"/>
      <c r="C53" s="141"/>
      <c r="D53" s="141"/>
      <c r="E53" s="141"/>
      <c r="F53" s="146"/>
      <c r="G53" s="214"/>
      <c r="H53" s="141"/>
      <c r="I53" s="141"/>
      <c r="J53" s="141"/>
      <c r="K53" s="141"/>
      <c r="L53" s="186">
        <v>28</v>
      </c>
      <c r="M53" s="191" t="s">
        <v>87</v>
      </c>
      <c r="N53" s="157"/>
      <c r="O53" s="157"/>
      <c r="P53" s="157"/>
      <c r="Q53" s="154"/>
      <c r="R53" s="189">
        <v>0</v>
      </c>
      <c r="S53" s="190"/>
    </row>
    <row r="54" spans="1:19" ht="20.25" customHeight="1">
      <c r="A54" s="231" t="s">
        <v>80</v>
      </c>
      <c r="B54" s="159"/>
      <c r="C54" s="159"/>
      <c r="D54" s="159"/>
      <c r="E54" s="159"/>
      <c r="F54" s="232"/>
      <c r="G54" s="233" t="s">
        <v>81</v>
      </c>
      <c r="H54" s="159"/>
      <c r="I54" s="159"/>
      <c r="J54" s="159"/>
      <c r="K54" s="159"/>
      <c r="L54" s="204">
        <v>29</v>
      </c>
      <c r="M54" s="205" t="s">
        <v>88</v>
      </c>
      <c r="N54" s="206"/>
      <c r="O54" s="206"/>
      <c r="P54" s="206"/>
      <c r="Q54" s="207"/>
      <c r="R54" s="173">
        <v>0</v>
      </c>
      <c r="S54" s="234"/>
    </row>
  </sheetData>
  <sheetProtection password="EF31" sheet="1" objects="1" scenarios="1" selectLockedCells="1"/>
  <mergeCells count="4">
    <mergeCell ref="E5:J5"/>
    <mergeCell ref="E7:J7"/>
    <mergeCell ref="E9:J9"/>
    <mergeCell ref="P9:R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2"/>
  <sheetViews>
    <sheetView view="pageBreakPreview" zoomScale="115" zoomScaleSheetLayoutView="115" workbookViewId="0" topLeftCell="A1">
      <selection activeCell="C9" sqref="C9"/>
    </sheetView>
  </sheetViews>
  <sheetFormatPr defaultColWidth="9.33203125" defaultRowHeight="11.25" customHeight="1"/>
  <cols>
    <col min="1" max="1" width="6.5" style="132" customWidth="1"/>
    <col min="2" max="2" width="5.16015625" style="132" customWidth="1"/>
    <col min="3" max="3" width="5.5" style="132" customWidth="1"/>
    <col min="4" max="4" width="14.83203125" style="132" customWidth="1"/>
    <col min="5" max="5" width="64.83203125" style="132" customWidth="1"/>
    <col min="6" max="6" width="5.5" style="132" customWidth="1"/>
    <col min="7" max="7" width="11.5" style="132" customWidth="1"/>
    <col min="8" max="8" width="11.33203125" style="132" customWidth="1"/>
    <col min="9" max="9" width="15.83203125" style="132" customWidth="1"/>
    <col min="10" max="10" width="12.33203125" style="132" hidden="1" customWidth="1"/>
    <col min="11" max="11" width="12.66015625" style="132" hidden="1" customWidth="1"/>
    <col min="12" max="12" width="11.33203125" style="132" hidden="1" customWidth="1"/>
    <col min="13" max="13" width="13.5" style="132" hidden="1" customWidth="1"/>
    <col min="14" max="14" width="6.16015625" style="132" customWidth="1"/>
    <col min="15" max="15" width="8.16015625" style="132" hidden="1" customWidth="1"/>
    <col min="16" max="16" width="8.5" style="132" hidden="1" customWidth="1"/>
    <col min="17" max="19" width="10.66015625" style="132" hidden="1" customWidth="1"/>
    <col min="20" max="20" width="9.33203125" style="132" hidden="1" customWidth="1"/>
    <col min="21" max="16384" width="9.33203125" style="132" customWidth="1"/>
  </cols>
  <sheetData>
    <row r="1" spans="1:20" ht="18" customHeight="1">
      <c r="A1" s="235" t="s">
        <v>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237"/>
      <c r="Q1" s="236"/>
      <c r="R1" s="236"/>
      <c r="S1" s="236"/>
      <c r="T1" s="236"/>
    </row>
    <row r="2" spans="1:20" ht="11.25" customHeight="1">
      <c r="A2" s="238" t="s">
        <v>0</v>
      </c>
      <c r="B2" s="239"/>
      <c r="C2" s="239" t="str">
        <f>'SO01 Krycí list'!E5</f>
        <v>Nový Jičín - HANON SYSTEMS - sanace</v>
      </c>
      <c r="D2" s="239"/>
      <c r="E2" s="239"/>
      <c r="F2" s="239"/>
      <c r="G2" s="239"/>
      <c r="H2" s="239"/>
      <c r="I2" s="239"/>
      <c r="J2" s="239"/>
      <c r="K2" s="239"/>
      <c r="L2" s="236"/>
      <c r="M2" s="236"/>
      <c r="N2" s="236"/>
      <c r="O2" s="237"/>
      <c r="P2" s="237"/>
      <c r="Q2" s="236"/>
      <c r="R2" s="236"/>
      <c r="S2" s="236"/>
      <c r="T2" s="236"/>
    </row>
    <row r="3" spans="1:20" ht="11.25" customHeight="1">
      <c r="A3" s="238" t="s">
        <v>90</v>
      </c>
      <c r="B3" s="239"/>
      <c r="C3" s="239" t="str">
        <f>'SO01 Krycí list'!E7</f>
        <v>SO 01 Sanační plocha 1</v>
      </c>
      <c r="D3" s="239"/>
      <c r="E3" s="239"/>
      <c r="F3" s="239"/>
      <c r="G3" s="239"/>
      <c r="H3" s="239"/>
      <c r="I3" s="239"/>
      <c r="J3" s="239"/>
      <c r="K3" s="239"/>
      <c r="L3" s="236"/>
      <c r="M3" s="236"/>
      <c r="N3" s="236"/>
      <c r="O3" s="237"/>
      <c r="P3" s="237"/>
      <c r="Q3" s="236"/>
      <c r="R3" s="236"/>
      <c r="S3" s="236"/>
      <c r="T3" s="236"/>
    </row>
    <row r="4" spans="1:20" ht="11.25" customHeight="1">
      <c r="A4" s="238" t="s">
        <v>91</v>
      </c>
      <c r="B4" s="239"/>
      <c r="C4" s="239" t="str">
        <f>'SO01 Krycí list'!E9</f>
        <v>Stavební část</v>
      </c>
      <c r="D4" s="239"/>
      <c r="E4" s="239"/>
      <c r="F4" s="239"/>
      <c r="G4" s="239"/>
      <c r="H4" s="239"/>
      <c r="I4" s="239"/>
      <c r="J4" s="239"/>
      <c r="K4" s="239"/>
      <c r="L4" s="236"/>
      <c r="M4" s="236"/>
      <c r="N4" s="236"/>
      <c r="O4" s="237"/>
      <c r="P4" s="237"/>
      <c r="Q4" s="236"/>
      <c r="R4" s="236"/>
      <c r="S4" s="236"/>
      <c r="T4" s="236"/>
    </row>
    <row r="5" spans="1:20" ht="11.25" customHeight="1">
      <c r="A5" s="239" t="s">
        <v>92</v>
      </c>
      <c r="B5" s="239"/>
      <c r="C5" s="239" t="str">
        <f>'SO01 Krycí list'!P5</f>
        <v xml:space="preserve"> </v>
      </c>
      <c r="D5" s="239"/>
      <c r="E5" s="239"/>
      <c r="F5" s="239"/>
      <c r="G5" s="239"/>
      <c r="H5" s="239"/>
      <c r="I5" s="239"/>
      <c r="J5" s="239"/>
      <c r="K5" s="239"/>
      <c r="L5" s="236"/>
      <c r="M5" s="236"/>
      <c r="N5" s="236"/>
      <c r="O5" s="237"/>
      <c r="P5" s="237"/>
      <c r="Q5" s="236"/>
      <c r="R5" s="236"/>
      <c r="S5" s="236"/>
      <c r="T5" s="236"/>
    </row>
    <row r="6" spans="1:20" ht="6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6"/>
      <c r="M6" s="236"/>
      <c r="N6" s="236"/>
      <c r="O6" s="237"/>
      <c r="P6" s="237"/>
      <c r="Q6" s="236"/>
      <c r="R6" s="236"/>
      <c r="S6" s="236"/>
      <c r="T6" s="236"/>
    </row>
    <row r="7" spans="1:20" ht="11.25" customHeight="1">
      <c r="A7" s="239" t="s">
        <v>2</v>
      </c>
      <c r="B7" s="239"/>
      <c r="C7" s="239" t="str">
        <f>'SO01 Krycí list'!E26</f>
        <v>Ministerstvo financí ČR</v>
      </c>
      <c r="D7" s="239"/>
      <c r="E7" s="239"/>
      <c r="F7" s="239"/>
      <c r="G7" s="239"/>
      <c r="H7" s="239"/>
      <c r="I7" s="239"/>
      <c r="J7" s="239"/>
      <c r="K7" s="239"/>
      <c r="L7" s="236"/>
      <c r="M7" s="236"/>
      <c r="N7" s="236"/>
      <c r="O7" s="237"/>
      <c r="P7" s="237"/>
      <c r="Q7" s="236"/>
      <c r="R7" s="236"/>
      <c r="S7" s="236"/>
      <c r="T7" s="236"/>
    </row>
    <row r="8" spans="1:20" ht="11.25" customHeight="1">
      <c r="A8" s="239" t="s">
        <v>4</v>
      </c>
      <c r="B8" s="239"/>
      <c r="C8" s="386" t="str">
        <f>'SO01 Krycí list'!E28</f>
        <v xml:space="preserve"> </v>
      </c>
      <c r="D8" s="386"/>
      <c r="E8" s="386"/>
      <c r="F8" s="239"/>
      <c r="G8" s="239"/>
      <c r="H8" s="239"/>
      <c r="I8" s="239"/>
      <c r="J8" s="239"/>
      <c r="K8" s="239"/>
      <c r="L8" s="236"/>
      <c r="M8" s="236"/>
      <c r="N8" s="236"/>
      <c r="O8" s="237"/>
      <c r="P8" s="237"/>
      <c r="Q8" s="236"/>
      <c r="R8" s="236"/>
      <c r="S8" s="236"/>
      <c r="T8" s="236"/>
    </row>
    <row r="9" spans="1:20" ht="11.25" customHeight="1">
      <c r="A9" s="239" t="s">
        <v>1</v>
      </c>
      <c r="B9" s="239"/>
      <c r="C9" s="386"/>
      <c r="D9" s="411"/>
      <c r="E9" s="386"/>
      <c r="F9" s="239"/>
      <c r="G9" s="239"/>
      <c r="H9" s="239"/>
      <c r="I9" s="239"/>
      <c r="J9" s="239"/>
      <c r="K9" s="239"/>
      <c r="L9" s="236"/>
      <c r="M9" s="236"/>
      <c r="N9" s="236"/>
      <c r="O9" s="237"/>
      <c r="P9" s="237"/>
      <c r="Q9" s="236"/>
      <c r="R9" s="236"/>
      <c r="S9" s="236"/>
      <c r="T9" s="236"/>
    </row>
    <row r="10" spans="1:20" ht="5.2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7"/>
      <c r="Q10" s="236"/>
      <c r="R10" s="236"/>
      <c r="S10" s="236"/>
      <c r="T10" s="236"/>
    </row>
    <row r="11" spans="1:21" ht="21.75" customHeight="1">
      <c r="A11" s="240" t="s">
        <v>93</v>
      </c>
      <c r="B11" s="241" t="s">
        <v>94</v>
      </c>
      <c r="C11" s="241" t="s">
        <v>95</v>
      </c>
      <c r="D11" s="241" t="s">
        <v>96</v>
      </c>
      <c r="E11" s="241" t="s">
        <v>97</v>
      </c>
      <c r="F11" s="241" t="s">
        <v>98</v>
      </c>
      <c r="G11" s="241" t="s">
        <v>99</v>
      </c>
      <c r="H11" s="241" t="s">
        <v>100</v>
      </c>
      <c r="I11" s="241" t="s">
        <v>101</v>
      </c>
      <c r="J11" s="241" t="s">
        <v>102</v>
      </c>
      <c r="K11" s="241" t="s">
        <v>103</v>
      </c>
      <c r="L11" s="241" t="s">
        <v>104</v>
      </c>
      <c r="M11" s="241" t="s">
        <v>105</v>
      </c>
      <c r="N11" s="241" t="s">
        <v>106</v>
      </c>
      <c r="O11" s="242" t="s">
        <v>107</v>
      </c>
      <c r="P11" s="243" t="s">
        <v>108</v>
      </c>
      <c r="Q11" s="241"/>
      <c r="R11" s="241"/>
      <c r="S11" s="241"/>
      <c r="T11" s="244" t="s">
        <v>109</v>
      </c>
      <c r="U11" s="245"/>
    </row>
    <row r="12" spans="1:21" ht="11.25" customHeight="1">
      <c r="A12" s="246">
        <v>1</v>
      </c>
      <c r="B12" s="247">
        <v>2</v>
      </c>
      <c r="C12" s="247">
        <v>3</v>
      </c>
      <c r="D12" s="247">
        <v>4</v>
      </c>
      <c r="E12" s="247">
        <v>5</v>
      </c>
      <c r="F12" s="247">
        <v>6</v>
      </c>
      <c r="G12" s="247">
        <v>7</v>
      </c>
      <c r="H12" s="247">
        <v>8</v>
      </c>
      <c r="I12" s="247">
        <v>9</v>
      </c>
      <c r="J12" s="247"/>
      <c r="K12" s="247"/>
      <c r="L12" s="247"/>
      <c r="M12" s="247"/>
      <c r="N12" s="247">
        <v>10</v>
      </c>
      <c r="O12" s="248">
        <v>11</v>
      </c>
      <c r="P12" s="249">
        <v>12</v>
      </c>
      <c r="Q12" s="247"/>
      <c r="R12" s="247"/>
      <c r="S12" s="247"/>
      <c r="T12" s="250">
        <v>11</v>
      </c>
      <c r="U12" s="245"/>
    </row>
    <row r="13" spans="1:20" ht="3.7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251"/>
      <c r="Q13" s="236"/>
      <c r="R13" s="236"/>
      <c r="S13" s="236"/>
      <c r="T13" s="236"/>
    </row>
    <row r="14" spans="1:16" s="256" customFormat="1" ht="12.75" customHeight="1">
      <c r="A14" s="252"/>
      <c r="B14" s="253" t="s">
        <v>77</v>
      </c>
      <c r="C14" s="252"/>
      <c r="D14" s="252" t="s">
        <v>58</v>
      </c>
      <c r="E14" s="252" t="s">
        <v>110</v>
      </c>
      <c r="F14" s="252"/>
      <c r="G14" s="252"/>
      <c r="H14" s="252"/>
      <c r="I14" s="254">
        <f>I15+I139+I149+I159+I165</f>
        <v>0</v>
      </c>
      <c r="J14" s="252"/>
      <c r="K14" s="255">
        <f>K15+K139+K149+K159+K165</f>
        <v>146.13908</v>
      </c>
      <c r="L14" s="252"/>
      <c r="M14" s="255">
        <f>M15+M139+M149+M159+M165</f>
        <v>53.279999999999994</v>
      </c>
      <c r="N14" s="252"/>
      <c r="P14" s="257" t="s">
        <v>111</v>
      </c>
    </row>
    <row r="15" spans="2:16" s="256" customFormat="1" ht="12.75" customHeight="1">
      <c r="B15" s="258" t="s">
        <v>77</v>
      </c>
      <c r="D15" s="259" t="s">
        <v>112</v>
      </c>
      <c r="E15" s="259" t="s">
        <v>113</v>
      </c>
      <c r="I15" s="260">
        <f>SUM(I16:I138)</f>
        <v>0</v>
      </c>
      <c r="K15" s="261">
        <f>SUM(K16:K138)</f>
        <v>34.395360000000004</v>
      </c>
      <c r="M15" s="261">
        <f>SUM(M16:M138)</f>
        <v>53.279999999999994</v>
      </c>
      <c r="P15" s="259" t="s">
        <v>112</v>
      </c>
    </row>
    <row r="16" spans="1:16" s="141" customFormat="1" ht="13.5" customHeight="1">
      <c r="A16" s="262" t="s">
        <v>112</v>
      </c>
      <c r="B16" s="262" t="s">
        <v>114</v>
      </c>
      <c r="C16" s="262" t="s">
        <v>115</v>
      </c>
      <c r="D16" s="263" t="s">
        <v>116</v>
      </c>
      <c r="E16" s="264" t="s">
        <v>117</v>
      </c>
      <c r="F16" s="262" t="s">
        <v>118</v>
      </c>
      <c r="G16" s="265">
        <v>2</v>
      </c>
      <c r="H16" s="387"/>
      <c r="I16" s="266">
        <f>ROUND(G16*H16,2)</f>
        <v>0</v>
      </c>
      <c r="J16" s="267">
        <v>0</v>
      </c>
      <c r="K16" s="265">
        <f>G16*J16</f>
        <v>0</v>
      </c>
      <c r="L16" s="267">
        <v>0</v>
      </c>
      <c r="M16" s="265">
        <f>G16*L16</f>
        <v>0</v>
      </c>
      <c r="N16" s="268">
        <v>21</v>
      </c>
      <c r="O16" s="269">
        <v>4</v>
      </c>
      <c r="P16" s="141" t="s">
        <v>119</v>
      </c>
    </row>
    <row r="17" spans="4:19" s="141" customFormat="1" ht="15.75" customHeight="1">
      <c r="D17" s="270"/>
      <c r="E17" s="271" t="s">
        <v>308</v>
      </c>
      <c r="G17" s="272"/>
      <c r="P17" s="270" t="s">
        <v>119</v>
      </c>
      <c r="Q17" s="270" t="s">
        <v>112</v>
      </c>
      <c r="R17" s="270" t="s">
        <v>309</v>
      </c>
      <c r="S17" s="270" t="s">
        <v>111</v>
      </c>
    </row>
    <row r="18" spans="4:19" s="141" customFormat="1" ht="15.75" customHeight="1">
      <c r="D18" s="273"/>
      <c r="E18" s="274" t="s">
        <v>119</v>
      </c>
      <c r="G18" s="275">
        <v>2</v>
      </c>
      <c r="P18" s="273" t="s">
        <v>119</v>
      </c>
      <c r="Q18" s="273" t="s">
        <v>119</v>
      </c>
      <c r="R18" s="273" t="s">
        <v>309</v>
      </c>
      <c r="S18" s="273" t="s">
        <v>112</v>
      </c>
    </row>
    <row r="19" spans="1:16" s="141" customFormat="1" ht="13.5" customHeight="1">
      <c r="A19" s="262" t="s">
        <v>119</v>
      </c>
      <c r="B19" s="262" t="s">
        <v>114</v>
      </c>
      <c r="C19" s="262" t="s">
        <v>115</v>
      </c>
      <c r="D19" s="263" t="s">
        <v>120</v>
      </c>
      <c r="E19" s="264" t="s">
        <v>121</v>
      </c>
      <c r="F19" s="262" t="s">
        <v>118</v>
      </c>
      <c r="G19" s="265">
        <v>2</v>
      </c>
      <c r="H19" s="387"/>
      <c r="I19" s="266">
        <f>ROUND(G19*H19,2)</f>
        <v>0</v>
      </c>
      <c r="J19" s="267">
        <v>8E-05</v>
      </c>
      <c r="K19" s="265">
        <f>G19*J19</f>
        <v>0.00016</v>
      </c>
      <c r="L19" s="267">
        <v>0</v>
      </c>
      <c r="M19" s="265">
        <f>G19*L19</f>
        <v>0</v>
      </c>
      <c r="N19" s="268">
        <v>21</v>
      </c>
      <c r="O19" s="269">
        <v>4</v>
      </c>
      <c r="P19" s="141" t="s">
        <v>119</v>
      </c>
    </row>
    <row r="20" spans="4:19" s="141" customFormat="1" ht="15.75" customHeight="1">
      <c r="D20" s="270"/>
      <c r="E20" s="271" t="s">
        <v>308</v>
      </c>
      <c r="G20" s="272"/>
      <c r="P20" s="270" t="s">
        <v>119</v>
      </c>
      <c r="Q20" s="270" t="s">
        <v>112</v>
      </c>
      <c r="R20" s="270" t="s">
        <v>309</v>
      </c>
      <c r="S20" s="270" t="s">
        <v>111</v>
      </c>
    </row>
    <row r="21" spans="4:19" s="141" customFormat="1" ht="15.75" customHeight="1">
      <c r="D21" s="273"/>
      <c r="E21" s="274" t="s">
        <v>119</v>
      </c>
      <c r="G21" s="275">
        <v>2</v>
      </c>
      <c r="P21" s="273" t="s">
        <v>119</v>
      </c>
      <c r="Q21" s="273" t="s">
        <v>119</v>
      </c>
      <c r="R21" s="273" t="s">
        <v>309</v>
      </c>
      <c r="S21" s="273" t="s">
        <v>112</v>
      </c>
    </row>
    <row r="22" spans="1:16" s="141" customFormat="1" ht="13.5" customHeight="1">
      <c r="A22" s="262" t="s">
        <v>122</v>
      </c>
      <c r="B22" s="262" t="s">
        <v>114</v>
      </c>
      <c r="C22" s="262" t="s">
        <v>123</v>
      </c>
      <c r="D22" s="263" t="s">
        <v>124</v>
      </c>
      <c r="E22" s="264" t="s">
        <v>125</v>
      </c>
      <c r="F22" s="262" t="s">
        <v>126</v>
      </c>
      <c r="G22" s="265">
        <v>60</v>
      </c>
      <c r="H22" s="387"/>
      <c r="I22" s="266">
        <f>ROUND(G22*H22,2)</f>
        <v>0</v>
      </c>
      <c r="J22" s="267">
        <v>0</v>
      </c>
      <c r="K22" s="265">
        <f>G22*J22</f>
        <v>0</v>
      </c>
      <c r="L22" s="267">
        <v>0.408</v>
      </c>
      <c r="M22" s="265">
        <f>G22*L22</f>
        <v>24.479999999999997</v>
      </c>
      <c r="N22" s="268">
        <v>21</v>
      </c>
      <c r="O22" s="269">
        <v>4</v>
      </c>
      <c r="P22" s="141" t="s">
        <v>119</v>
      </c>
    </row>
    <row r="23" spans="4:19" s="141" customFormat="1" ht="15.75" customHeight="1">
      <c r="D23" s="270"/>
      <c r="E23" s="271" t="s">
        <v>308</v>
      </c>
      <c r="G23" s="272"/>
      <c r="P23" s="270" t="s">
        <v>119</v>
      </c>
      <c r="Q23" s="270" t="s">
        <v>112</v>
      </c>
      <c r="R23" s="270" t="s">
        <v>309</v>
      </c>
      <c r="S23" s="270" t="s">
        <v>111</v>
      </c>
    </row>
    <row r="24" spans="4:19" s="141" customFormat="1" ht="15.75" customHeight="1">
      <c r="D24" s="270"/>
      <c r="E24" s="271" t="s">
        <v>310</v>
      </c>
      <c r="G24" s="272"/>
      <c r="P24" s="270" t="s">
        <v>119</v>
      </c>
      <c r="Q24" s="270" t="s">
        <v>112</v>
      </c>
      <c r="R24" s="270" t="s">
        <v>309</v>
      </c>
      <c r="S24" s="270" t="s">
        <v>111</v>
      </c>
    </row>
    <row r="25" spans="4:19" s="141" customFormat="1" ht="15.75" customHeight="1">
      <c r="D25" s="273"/>
      <c r="E25" s="274" t="s">
        <v>311</v>
      </c>
      <c r="G25" s="275">
        <v>60</v>
      </c>
      <c r="P25" s="273" t="s">
        <v>119</v>
      </c>
      <c r="Q25" s="273" t="s">
        <v>119</v>
      </c>
      <c r="R25" s="273" t="s">
        <v>309</v>
      </c>
      <c r="S25" s="273" t="s">
        <v>112</v>
      </c>
    </row>
    <row r="26" spans="1:16" s="141" customFormat="1" ht="13.5" customHeight="1">
      <c r="A26" s="262" t="s">
        <v>127</v>
      </c>
      <c r="B26" s="262" t="s">
        <v>114</v>
      </c>
      <c r="C26" s="262" t="s">
        <v>123</v>
      </c>
      <c r="D26" s="263" t="s">
        <v>128</v>
      </c>
      <c r="E26" s="264" t="s">
        <v>129</v>
      </c>
      <c r="F26" s="262" t="s">
        <v>126</v>
      </c>
      <c r="G26" s="265">
        <v>120</v>
      </c>
      <c r="H26" s="387"/>
      <c r="I26" s="266">
        <f>ROUND(G26*H26,2)</f>
        <v>0</v>
      </c>
      <c r="J26" s="267">
        <v>0</v>
      </c>
      <c r="K26" s="265">
        <f>G26*J26</f>
        <v>0</v>
      </c>
      <c r="L26" s="267">
        <v>0.24</v>
      </c>
      <c r="M26" s="265">
        <f>G26*L26</f>
        <v>28.799999999999997</v>
      </c>
      <c r="N26" s="268">
        <v>21</v>
      </c>
      <c r="O26" s="269">
        <v>4</v>
      </c>
      <c r="P26" s="141" t="s">
        <v>119</v>
      </c>
    </row>
    <row r="27" spans="4:19" s="141" customFormat="1" ht="15.75" customHeight="1">
      <c r="D27" s="270"/>
      <c r="E27" s="271" t="s">
        <v>308</v>
      </c>
      <c r="G27" s="272"/>
      <c r="P27" s="270" t="s">
        <v>119</v>
      </c>
      <c r="Q27" s="270" t="s">
        <v>112</v>
      </c>
      <c r="R27" s="270" t="s">
        <v>309</v>
      </c>
      <c r="S27" s="270" t="s">
        <v>111</v>
      </c>
    </row>
    <row r="28" spans="4:19" s="141" customFormat="1" ht="15.75" customHeight="1">
      <c r="D28" s="270"/>
      <c r="E28" s="271" t="s">
        <v>310</v>
      </c>
      <c r="G28" s="272"/>
      <c r="P28" s="270" t="s">
        <v>119</v>
      </c>
      <c r="Q28" s="270" t="s">
        <v>112</v>
      </c>
      <c r="R28" s="270" t="s">
        <v>309</v>
      </c>
      <c r="S28" s="270" t="s">
        <v>111</v>
      </c>
    </row>
    <row r="29" spans="4:19" s="141" customFormat="1" ht="15.75" customHeight="1">
      <c r="D29" s="273"/>
      <c r="E29" s="274" t="s">
        <v>312</v>
      </c>
      <c r="G29" s="275">
        <v>120</v>
      </c>
      <c r="P29" s="273" t="s">
        <v>119</v>
      </c>
      <c r="Q29" s="273" t="s">
        <v>119</v>
      </c>
      <c r="R29" s="273" t="s">
        <v>309</v>
      </c>
      <c r="S29" s="273" t="s">
        <v>112</v>
      </c>
    </row>
    <row r="30" spans="1:16" s="141" customFormat="1" ht="13.5" customHeight="1">
      <c r="A30" s="262" t="s">
        <v>130</v>
      </c>
      <c r="B30" s="262" t="s">
        <v>114</v>
      </c>
      <c r="C30" s="262" t="s">
        <v>115</v>
      </c>
      <c r="D30" s="263" t="s">
        <v>131</v>
      </c>
      <c r="E30" s="264" t="s">
        <v>132</v>
      </c>
      <c r="F30" s="262" t="s">
        <v>133</v>
      </c>
      <c r="G30" s="297">
        <f>G32</f>
        <v>600</v>
      </c>
      <c r="H30" s="387"/>
      <c r="I30" s="266">
        <f>ROUND(G30*H30,2)</f>
        <v>0</v>
      </c>
      <c r="J30" s="267">
        <v>0</v>
      </c>
      <c r="K30" s="265">
        <f>G30*J30</f>
        <v>0</v>
      </c>
      <c r="L30" s="267">
        <v>0</v>
      </c>
      <c r="M30" s="265">
        <f>G30*L30</f>
        <v>0</v>
      </c>
      <c r="N30" s="268">
        <v>21</v>
      </c>
      <c r="O30" s="269">
        <v>4</v>
      </c>
      <c r="P30" s="141" t="s">
        <v>119</v>
      </c>
    </row>
    <row r="31" spans="4:19" s="141" customFormat="1" ht="15.75" customHeight="1">
      <c r="D31" s="270"/>
      <c r="E31" s="271" t="s">
        <v>308</v>
      </c>
      <c r="G31" s="298"/>
      <c r="P31" s="270" t="s">
        <v>119</v>
      </c>
      <c r="Q31" s="270" t="s">
        <v>112</v>
      </c>
      <c r="R31" s="270" t="s">
        <v>309</v>
      </c>
      <c r="S31" s="270" t="s">
        <v>111</v>
      </c>
    </row>
    <row r="32" spans="4:19" s="141" customFormat="1" ht="15.75" customHeight="1">
      <c r="D32" s="273"/>
      <c r="E32" s="303" t="s">
        <v>355</v>
      </c>
      <c r="G32" s="299">
        <f>G33*24</f>
        <v>600</v>
      </c>
      <c r="P32" s="273" t="s">
        <v>119</v>
      </c>
      <c r="Q32" s="273" t="s">
        <v>119</v>
      </c>
      <c r="R32" s="273" t="s">
        <v>309</v>
      </c>
      <c r="S32" s="273" t="s">
        <v>112</v>
      </c>
    </row>
    <row r="33" spans="1:16" s="141" customFormat="1" ht="13.5" customHeight="1">
      <c r="A33" s="262" t="s">
        <v>134</v>
      </c>
      <c r="B33" s="262" t="s">
        <v>114</v>
      </c>
      <c r="C33" s="262" t="s">
        <v>115</v>
      </c>
      <c r="D33" s="263" t="s">
        <v>135</v>
      </c>
      <c r="E33" s="264" t="s">
        <v>136</v>
      </c>
      <c r="F33" s="262" t="s">
        <v>137</v>
      </c>
      <c r="G33" s="297">
        <v>25</v>
      </c>
      <c r="H33" s="387"/>
      <c r="I33" s="266">
        <f>ROUND(G33*H33,2)</f>
        <v>0</v>
      </c>
      <c r="J33" s="267">
        <v>0</v>
      </c>
      <c r="K33" s="265">
        <f>G33*J33</f>
        <v>0</v>
      </c>
      <c r="L33" s="267">
        <v>0</v>
      </c>
      <c r="M33" s="265">
        <f>G33*L33</f>
        <v>0</v>
      </c>
      <c r="N33" s="268">
        <v>21</v>
      </c>
      <c r="O33" s="269">
        <v>4</v>
      </c>
      <c r="P33" s="141" t="s">
        <v>119</v>
      </c>
    </row>
    <row r="34" spans="1:16" s="141" customFormat="1" ht="13.5" customHeight="1">
      <c r="A34" s="262" t="s">
        <v>138</v>
      </c>
      <c r="B34" s="262" t="s">
        <v>114</v>
      </c>
      <c r="C34" s="262" t="s">
        <v>115</v>
      </c>
      <c r="D34" s="263" t="s">
        <v>139</v>
      </c>
      <c r="E34" s="264" t="s">
        <v>140</v>
      </c>
      <c r="F34" s="262" t="s">
        <v>141</v>
      </c>
      <c r="G34" s="265">
        <v>93</v>
      </c>
      <c r="H34" s="387"/>
      <c r="I34" s="266">
        <f>ROUND(G34*H34,2)</f>
        <v>0</v>
      </c>
      <c r="J34" s="267">
        <v>0</v>
      </c>
      <c r="K34" s="265">
        <f>G34*J34</f>
        <v>0</v>
      </c>
      <c r="L34" s="267">
        <v>0</v>
      </c>
      <c r="M34" s="265">
        <f>G34*L34</f>
        <v>0</v>
      </c>
      <c r="N34" s="268">
        <v>21</v>
      </c>
      <c r="O34" s="269">
        <v>4</v>
      </c>
      <c r="P34" s="141" t="s">
        <v>119</v>
      </c>
    </row>
    <row r="35" spans="4:19" s="141" customFormat="1" ht="15.75" customHeight="1">
      <c r="D35" s="270"/>
      <c r="E35" s="271" t="s">
        <v>308</v>
      </c>
      <c r="G35" s="272"/>
      <c r="P35" s="270" t="s">
        <v>119</v>
      </c>
      <c r="Q35" s="270" t="s">
        <v>112</v>
      </c>
      <c r="R35" s="270" t="s">
        <v>309</v>
      </c>
      <c r="S35" s="270" t="s">
        <v>111</v>
      </c>
    </row>
    <row r="36" spans="4:19" s="141" customFormat="1" ht="15.75" customHeight="1">
      <c r="D36" s="273"/>
      <c r="E36" s="274" t="s">
        <v>313</v>
      </c>
      <c r="G36" s="275">
        <v>93</v>
      </c>
      <c r="P36" s="273" t="s">
        <v>119</v>
      </c>
      <c r="Q36" s="273" t="s">
        <v>119</v>
      </c>
      <c r="R36" s="273" t="s">
        <v>309</v>
      </c>
      <c r="S36" s="273" t="s">
        <v>112</v>
      </c>
    </row>
    <row r="37" spans="1:16" s="141" customFormat="1" ht="13.5" customHeight="1">
      <c r="A37" s="262" t="s">
        <v>142</v>
      </c>
      <c r="B37" s="262" t="s">
        <v>114</v>
      </c>
      <c r="C37" s="262" t="s">
        <v>115</v>
      </c>
      <c r="D37" s="263" t="s">
        <v>143</v>
      </c>
      <c r="E37" s="264" t="s">
        <v>144</v>
      </c>
      <c r="F37" s="262" t="s">
        <v>141</v>
      </c>
      <c r="G37" s="265">
        <v>1850</v>
      </c>
      <c r="H37" s="387"/>
      <c r="I37" s="266">
        <f>ROUND(G37*H37,2)</f>
        <v>0</v>
      </c>
      <c r="J37" s="267">
        <v>0</v>
      </c>
      <c r="K37" s="265">
        <f>G37*J37</f>
        <v>0</v>
      </c>
      <c r="L37" s="267">
        <v>0</v>
      </c>
      <c r="M37" s="265">
        <f>G37*L37</f>
        <v>0</v>
      </c>
      <c r="N37" s="268">
        <v>21</v>
      </c>
      <c r="O37" s="269">
        <v>4</v>
      </c>
      <c r="P37" s="141" t="s">
        <v>119</v>
      </c>
    </row>
    <row r="38" spans="4:19" s="141" customFormat="1" ht="15.75" customHeight="1">
      <c r="D38" s="270"/>
      <c r="E38" s="271" t="s">
        <v>308</v>
      </c>
      <c r="G38" s="272"/>
      <c r="P38" s="270" t="s">
        <v>119</v>
      </c>
      <c r="Q38" s="270" t="s">
        <v>112</v>
      </c>
      <c r="R38" s="270" t="s">
        <v>309</v>
      </c>
      <c r="S38" s="270" t="s">
        <v>111</v>
      </c>
    </row>
    <row r="39" spans="4:19" s="141" customFormat="1" ht="15.75" customHeight="1">
      <c r="D39" s="273"/>
      <c r="E39" s="274" t="s">
        <v>314</v>
      </c>
      <c r="G39" s="275">
        <v>1850</v>
      </c>
      <c r="P39" s="273" t="s">
        <v>119</v>
      </c>
      <c r="Q39" s="273" t="s">
        <v>119</v>
      </c>
      <c r="R39" s="273" t="s">
        <v>309</v>
      </c>
      <c r="S39" s="273" t="s">
        <v>112</v>
      </c>
    </row>
    <row r="40" spans="1:16" s="141" customFormat="1" ht="13.5" customHeight="1">
      <c r="A40" s="262" t="s">
        <v>145</v>
      </c>
      <c r="B40" s="262" t="s">
        <v>114</v>
      </c>
      <c r="C40" s="262" t="s">
        <v>115</v>
      </c>
      <c r="D40" s="263" t="s">
        <v>146</v>
      </c>
      <c r="E40" s="264" t="s">
        <v>147</v>
      </c>
      <c r="F40" s="262" t="s">
        <v>141</v>
      </c>
      <c r="G40" s="265">
        <v>1850</v>
      </c>
      <c r="H40" s="387"/>
      <c r="I40" s="266">
        <f>ROUND(G40*H40,2)</f>
        <v>0</v>
      </c>
      <c r="J40" s="267">
        <v>0</v>
      </c>
      <c r="K40" s="265">
        <f>G40*J40</f>
        <v>0</v>
      </c>
      <c r="L40" s="267">
        <v>0</v>
      </c>
      <c r="M40" s="265">
        <f>G40*L40</f>
        <v>0</v>
      </c>
      <c r="N40" s="268">
        <v>21</v>
      </c>
      <c r="O40" s="269">
        <v>4</v>
      </c>
      <c r="P40" s="141" t="s">
        <v>119</v>
      </c>
    </row>
    <row r="41" spans="1:16" s="141" customFormat="1" ht="13.5" customHeight="1">
      <c r="A41" s="262" t="s">
        <v>148</v>
      </c>
      <c r="B41" s="262" t="s">
        <v>114</v>
      </c>
      <c r="C41" s="262" t="s">
        <v>115</v>
      </c>
      <c r="D41" s="263" t="s">
        <v>149</v>
      </c>
      <c r="E41" s="300" t="s">
        <v>150</v>
      </c>
      <c r="F41" s="262" t="s">
        <v>141</v>
      </c>
      <c r="G41" s="265">
        <f>G43</f>
        <v>16.5</v>
      </c>
      <c r="H41" s="387"/>
      <c r="I41" s="266">
        <f>ROUND(G41*H41,2)</f>
        <v>0</v>
      </c>
      <c r="J41" s="267">
        <v>0</v>
      </c>
      <c r="K41" s="265">
        <f>G41*J41</f>
        <v>0</v>
      </c>
      <c r="L41" s="267">
        <v>0</v>
      </c>
      <c r="M41" s="265">
        <f>G41*L41</f>
        <v>0</v>
      </c>
      <c r="N41" s="268">
        <v>21</v>
      </c>
      <c r="O41" s="269">
        <v>4</v>
      </c>
      <c r="P41" s="141" t="s">
        <v>119</v>
      </c>
    </row>
    <row r="42" spans="4:19" s="141" customFormat="1" ht="15.75" customHeight="1">
      <c r="D42" s="270"/>
      <c r="E42" s="271" t="s">
        <v>308</v>
      </c>
      <c r="G42" s="272"/>
      <c r="P42" s="270" t="s">
        <v>119</v>
      </c>
      <c r="Q42" s="270" t="s">
        <v>112</v>
      </c>
      <c r="R42" s="270" t="s">
        <v>309</v>
      </c>
      <c r="S42" s="270" t="s">
        <v>111</v>
      </c>
    </row>
    <row r="43" spans="4:19" s="141" customFormat="1" ht="15.75" customHeight="1">
      <c r="D43" s="273"/>
      <c r="E43" s="274" t="s">
        <v>351</v>
      </c>
      <c r="G43" s="299">
        <v>16.5</v>
      </c>
      <c r="P43" s="273" t="s">
        <v>119</v>
      </c>
      <c r="Q43" s="273" t="s">
        <v>119</v>
      </c>
      <c r="R43" s="273" t="s">
        <v>309</v>
      </c>
      <c r="S43" s="273" t="s">
        <v>112</v>
      </c>
    </row>
    <row r="44" spans="1:16" s="141" customFormat="1" ht="13.5" customHeight="1">
      <c r="A44" s="262" t="s">
        <v>151</v>
      </c>
      <c r="B44" s="262" t="s">
        <v>114</v>
      </c>
      <c r="C44" s="262" t="s">
        <v>115</v>
      </c>
      <c r="D44" s="263" t="s">
        <v>152</v>
      </c>
      <c r="E44" s="264" t="s">
        <v>153</v>
      </c>
      <c r="F44" s="262" t="s">
        <v>141</v>
      </c>
      <c r="G44" s="265">
        <f>G41</f>
        <v>16.5</v>
      </c>
      <c r="H44" s="387"/>
      <c r="I44" s="266">
        <f>ROUND(G44*H44,2)</f>
        <v>0</v>
      </c>
      <c r="J44" s="267">
        <v>0</v>
      </c>
      <c r="K44" s="265">
        <f>G44*J44</f>
        <v>0</v>
      </c>
      <c r="L44" s="267">
        <v>0</v>
      </c>
      <c r="M44" s="265">
        <f>G44*L44</f>
        <v>0</v>
      </c>
      <c r="N44" s="268">
        <v>21</v>
      </c>
      <c r="O44" s="269">
        <v>4</v>
      </c>
      <c r="P44" s="141" t="s">
        <v>119</v>
      </c>
    </row>
    <row r="45" spans="1:16" s="141" customFormat="1" ht="13.5" customHeight="1">
      <c r="A45" s="262" t="s">
        <v>154</v>
      </c>
      <c r="B45" s="262" t="s">
        <v>114</v>
      </c>
      <c r="C45" s="262" t="s">
        <v>115</v>
      </c>
      <c r="D45" s="263" t="s">
        <v>155</v>
      </c>
      <c r="E45" s="264" t="s">
        <v>156</v>
      </c>
      <c r="F45" s="262" t="s">
        <v>126</v>
      </c>
      <c r="G45" s="265">
        <f>G51</f>
        <v>386.7</v>
      </c>
      <c r="H45" s="387"/>
      <c r="I45" s="266">
        <f>ROUND(G45*H45,2)</f>
        <v>0</v>
      </c>
      <c r="J45" s="267">
        <v>0.0007</v>
      </c>
      <c r="K45" s="265">
        <f>G45*J45</f>
        <v>0.27069</v>
      </c>
      <c r="L45" s="267">
        <v>0</v>
      </c>
      <c r="M45" s="265">
        <f>G45*L45</f>
        <v>0</v>
      </c>
      <c r="N45" s="268">
        <v>21</v>
      </c>
      <c r="O45" s="269">
        <v>4</v>
      </c>
      <c r="P45" s="141" t="s">
        <v>119</v>
      </c>
    </row>
    <row r="46" spans="4:19" s="141" customFormat="1" ht="15.75" customHeight="1">
      <c r="D46" s="270"/>
      <c r="E46" s="271" t="s">
        <v>308</v>
      </c>
      <c r="G46" s="272"/>
      <c r="P46" s="270" t="s">
        <v>119</v>
      </c>
      <c r="Q46" s="270" t="s">
        <v>112</v>
      </c>
      <c r="R46" s="270" t="s">
        <v>309</v>
      </c>
      <c r="S46" s="270" t="s">
        <v>111</v>
      </c>
    </row>
    <row r="47" spans="4:19" s="141" customFormat="1" ht="15.75" customHeight="1">
      <c r="D47" s="270"/>
      <c r="E47" s="271" t="s">
        <v>315</v>
      </c>
      <c r="G47" s="272"/>
      <c r="P47" s="270" t="s">
        <v>119</v>
      </c>
      <c r="Q47" s="270" t="s">
        <v>112</v>
      </c>
      <c r="R47" s="270" t="s">
        <v>309</v>
      </c>
      <c r="S47" s="270" t="s">
        <v>111</v>
      </c>
    </row>
    <row r="48" spans="4:19" s="141" customFormat="1" ht="15.75" customHeight="1">
      <c r="D48" s="273"/>
      <c r="E48" s="274" t="s">
        <v>316</v>
      </c>
      <c r="G48" s="275">
        <v>331.5</v>
      </c>
      <c r="P48" s="273" t="s">
        <v>119</v>
      </c>
      <c r="Q48" s="273" t="s">
        <v>119</v>
      </c>
      <c r="R48" s="273" t="s">
        <v>309</v>
      </c>
      <c r="S48" s="273" t="s">
        <v>111</v>
      </c>
    </row>
    <row r="49" spans="4:19" s="141" customFormat="1" ht="15.75" customHeight="1">
      <c r="D49" s="270"/>
      <c r="E49" s="271" t="s">
        <v>317</v>
      </c>
      <c r="G49" s="276"/>
      <c r="P49" s="270" t="s">
        <v>119</v>
      </c>
      <c r="Q49" s="270" t="s">
        <v>112</v>
      </c>
      <c r="R49" s="270" t="s">
        <v>309</v>
      </c>
      <c r="S49" s="270" t="s">
        <v>111</v>
      </c>
    </row>
    <row r="50" spans="4:19" s="141" customFormat="1" ht="15.75" customHeight="1">
      <c r="D50" s="273"/>
      <c r="E50" s="274" t="s">
        <v>352</v>
      </c>
      <c r="G50" s="299">
        <v>55.2</v>
      </c>
      <c r="P50" s="273" t="s">
        <v>119</v>
      </c>
      <c r="Q50" s="273" t="s">
        <v>119</v>
      </c>
      <c r="R50" s="273" t="s">
        <v>309</v>
      </c>
      <c r="S50" s="273" t="s">
        <v>111</v>
      </c>
    </row>
    <row r="51" spans="4:19" s="141" customFormat="1" ht="15.75" customHeight="1">
      <c r="D51" s="277"/>
      <c r="E51" s="278" t="s">
        <v>318</v>
      </c>
      <c r="G51" s="279">
        <f>G48+G50</f>
        <v>386.7</v>
      </c>
      <c r="P51" s="277" t="s">
        <v>119</v>
      </c>
      <c r="Q51" s="277" t="s">
        <v>127</v>
      </c>
      <c r="R51" s="277" t="s">
        <v>309</v>
      </c>
      <c r="S51" s="277" t="s">
        <v>112</v>
      </c>
    </row>
    <row r="52" spans="1:16" s="141" customFormat="1" ht="13.5" customHeight="1">
      <c r="A52" s="262" t="s">
        <v>157</v>
      </c>
      <c r="B52" s="262" t="s">
        <v>114</v>
      </c>
      <c r="C52" s="262" t="s">
        <v>115</v>
      </c>
      <c r="D52" s="263" t="s">
        <v>158</v>
      </c>
      <c r="E52" s="264" t="s">
        <v>159</v>
      </c>
      <c r="F52" s="262" t="s">
        <v>126</v>
      </c>
      <c r="G52" s="265">
        <f>G45</f>
        <v>386.7</v>
      </c>
      <c r="H52" s="387"/>
      <c r="I52" s="266">
        <f>ROUND(G52*H52,2)</f>
        <v>0</v>
      </c>
      <c r="J52" s="267">
        <v>0</v>
      </c>
      <c r="K52" s="265">
        <f>G52*J52</f>
        <v>0</v>
      </c>
      <c r="L52" s="267">
        <v>0</v>
      </c>
      <c r="M52" s="265">
        <f>G52*L52</f>
        <v>0</v>
      </c>
      <c r="N52" s="268">
        <v>21</v>
      </c>
      <c r="O52" s="269">
        <v>4</v>
      </c>
      <c r="P52" s="141" t="s">
        <v>119</v>
      </c>
    </row>
    <row r="53" spans="1:16" s="141" customFormat="1" ht="13.5" customHeight="1">
      <c r="A53" s="262" t="s">
        <v>160</v>
      </c>
      <c r="B53" s="262" t="s">
        <v>114</v>
      </c>
      <c r="C53" s="262" t="s">
        <v>115</v>
      </c>
      <c r="D53" s="263" t="s">
        <v>161</v>
      </c>
      <c r="E53" s="264" t="s">
        <v>162</v>
      </c>
      <c r="F53" s="262" t="s">
        <v>141</v>
      </c>
      <c r="G53" s="265">
        <v>1850</v>
      </c>
      <c r="H53" s="387"/>
      <c r="I53" s="266">
        <f>ROUND(G53*H53,2)</f>
        <v>0</v>
      </c>
      <c r="J53" s="267">
        <v>0.00046</v>
      </c>
      <c r="K53" s="265">
        <f>G53*J53</f>
        <v>0.851</v>
      </c>
      <c r="L53" s="267">
        <v>0</v>
      </c>
      <c r="M53" s="265">
        <f>G53*L53</f>
        <v>0</v>
      </c>
      <c r="N53" s="268">
        <v>21</v>
      </c>
      <c r="O53" s="269">
        <v>4</v>
      </c>
      <c r="P53" s="141" t="s">
        <v>119</v>
      </c>
    </row>
    <row r="54" spans="4:19" s="141" customFormat="1" ht="15.75" customHeight="1">
      <c r="D54" s="270"/>
      <c r="E54" s="271" t="s">
        <v>308</v>
      </c>
      <c r="G54" s="272"/>
      <c r="P54" s="270" t="s">
        <v>119</v>
      </c>
      <c r="Q54" s="270" t="s">
        <v>112</v>
      </c>
      <c r="R54" s="270" t="s">
        <v>309</v>
      </c>
      <c r="S54" s="270" t="s">
        <v>111</v>
      </c>
    </row>
    <row r="55" spans="4:19" s="141" customFormat="1" ht="15.75" customHeight="1">
      <c r="D55" s="273"/>
      <c r="E55" s="274" t="s">
        <v>314</v>
      </c>
      <c r="G55" s="275">
        <v>1850</v>
      </c>
      <c r="P55" s="273" t="s">
        <v>119</v>
      </c>
      <c r="Q55" s="273" t="s">
        <v>119</v>
      </c>
      <c r="R55" s="273" t="s">
        <v>309</v>
      </c>
      <c r="S55" s="273" t="s">
        <v>112</v>
      </c>
    </row>
    <row r="56" spans="1:16" s="141" customFormat="1" ht="13.5" customHeight="1">
      <c r="A56" s="262" t="s">
        <v>163</v>
      </c>
      <c r="B56" s="262" t="s">
        <v>114</v>
      </c>
      <c r="C56" s="262" t="s">
        <v>115</v>
      </c>
      <c r="D56" s="263" t="s">
        <v>164</v>
      </c>
      <c r="E56" s="264" t="s">
        <v>165</v>
      </c>
      <c r="F56" s="262" t="s">
        <v>141</v>
      </c>
      <c r="G56" s="265">
        <v>1850</v>
      </c>
      <c r="H56" s="387"/>
      <c r="I56" s="266">
        <f>ROUND(G56*H56,2)</f>
        <v>0</v>
      </c>
      <c r="J56" s="267">
        <v>0</v>
      </c>
      <c r="K56" s="265">
        <f>G56*J56</f>
        <v>0</v>
      </c>
      <c r="L56" s="267">
        <v>0</v>
      </c>
      <c r="M56" s="265">
        <f>G56*L56</f>
        <v>0</v>
      </c>
      <c r="N56" s="268">
        <v>21</v>
      </c>
      <c r="O56" s="269">
        <v>4</v>
      </c>
      <c r="P56" s="141" t="s">
        <v>119</v>
      </c>
    </row>
    <row r="57" spans="1:16" s="141" customFormat="1" ht="13.5" customHeight="1">
      <c r="A57" s="262" t="s">
        <v>166</v>
      </c>
      <c r="B57" s="262" t="s">
        <v>114</v>
      </c>
      <c r="C57" s="262" t="s">
        <v>115</v>
      </c>
      <c r="D57" s="263" t="s">
        <v>167</v>
      </c>
      <c r="E57" s="264" t="s">
        <v>168</v>
      </c>
      <c r="F57" s="262" t="s">
        <v>126</v>
      </c>
      <c r="G57" s="265">
        <v>331.5</v>
      </c>
      <c r="H57" s="387"/>
      <c r="I57" s="266">
        <f>ROUND(G57*H57,2)</f>
        <v>0</v>
      </c>
      <c r="J57" s="267">
        <v>0.00079</v>
      </c>
      <c r="K57" s="265">
        <f>G57*J57</f>
        <v>0.261885</v>
      </c>
      <c r="L57" s="267">
        <v>0</v>
      </c>
      <c r="M57" s="265">
        <f>G57*L57</f>
        <v>0</v>
      </c>
      <c r="N57" s="268">
        <v>21</v>
      </c>
      <c r="O57" s="269">
        <v>4</v>
      </c>
      <c r="P57" s="141" t="s">
        <v>119</v>
      </c>
    </row>
    <row r="58" spans="4:19" s="141" customFormat="1" ht="15.75" customHeight="1">
      <c r="D58" s="270"/>
      <c r="E58" s="271" t="s">
        <v>308</v>
      </c>
      <c r="G58" s="272"/>
      <c r="P58" s="270" t="s">
        <v>119</v>
      </c>
      <c r="Q58" s="270" t="s">
        <v>112</v>
      </c>
      <c r="R58" s="270" t="s">
        <v>309</v>
      </c>
      <c r="S58" s="270" t="s">
        <v>111</v>
      </c>
    </row>
    <row r="59" spans="4:19" s="141" customFormat="1" ht="15.75" customHeight="1">
      <c r="D59" s="270"/>
      <c r="E59" s="271" t="s">
        <v>315</v>
      </c>
      <c r="G59" s="272"/>
      <c r="P59" s="270" t="s">
        <v>119</v>
      </c>
      <c r="Q59" s="270" t="s">
        <v>112</v>
      </c>
      <c r="R59" s="270" t="s">
        <v>309</v>
      </c>
      <c r="S59" s="270" t="s">
        <v>111</v>
      </c>
    </row>
    <row r="60" spans="4:19" s="141" customFormat="1" ht="15.75" customHeight="1">
      <c r="D60" s="273"/>
      <c r="E60" s="274" t="s">
        <v>316</v>
      </c>
      <c r="G60" s="275">
        <v>331.5</v>
      </c>
      <c r="P60" s="273" t="s">
        <v>119</v>
      </c>
      <c r="Q60" s="273" t="s">
        <v>119</v>
      </c>
      <c r="R60" s="273" t="s">
        <v>309</v>
      </c>
      <c r="S60" s="273" t="s">
        <v>112</v>
      </c>
    </row>
    <row r="61" spans="1:16" s="141" customFormat="1" ht="13.5" customHeight="1">
      <c r="A61" s="262" t="s">
        <v>169</v>
      </c>
      <c r="B61" s="262" t="s">
        <v>114</v>
      </c>
      <c r="C61" s="262" t="s">
        <v>115</v>
      </c>
      <c r="D61" s="263" t="s">
        <v>170</v>
      </c>
      <c r="E61" s="264" t="s">
        <v>171</v>
      </c>
      <c r="F61" s="262" t="s">
        <v>126</v>
      </c>
      <c r="G61" s="265">
        <v>331.5</v>
      </c>
      <c r="H61" s="387"/>
      <c r="I61" s="266">
        <f>ROUND(G61*H61,2)</f>
        <v>0</v>
      </c>
      <c r="J61" s="267">
        <v>0</v>
      </c>
      <c r="K61" s="265">
        <f>G61*J61</f>
        <v>0</v>
      </c>
      <c r="L61" s="267">
        <v>0</v>
      </c>
      <c r="M61" s="265">
        <f>G61*L61</f>
        <v>0</v>
      </c>
      <c r="N61" s="268">
        <v>21</v>
      </c>
      <c r="O61" s="269">
        <v>4</v>
      </c>
      <c r="P61" s="141" t="s">
        <v>119</v>
      </c>
    </row>
    <row r="62" spans="1:16" s="141" customFormat="1" ht="13.5" customHeight="1">
      <c r="A62" s="262" t="s">
        <v>172</v>
      </c>
      <c r="B62" s="262" t="s">
        <v>114</v>
      </c>
      <c r="C62" s="262" t="s">
        <v>115</v>
      </c>
      <c r="D62" s="263" t="s">
        <v>173</v>
      </c>
      <c r="E62" s="264" t="s">
        <v>174</v>
      </c>
      <c r="F62" s="262" t="s">
        <v>118</v>
      </c>
      <c r="G62" s="265">
        <v>2</v>
      </c>
      <c r="H62" s="387"/>
      <c r="I62" s="266">
        <f>ROUND(G62*H62,2)</f>
        <v>0</v>
      </c>
      <c r="J62" s="267">
        <v>0</v>
      </c>
      <c r="K62" s="265">
        <f>G62*J62</f>
        <v>0</v>
      </c>
      <c r="L62" s="267">
        <v>0</v>
      </c>
      <c r="M62" s="265">
        <f>G62*L62</f>
        <v>0</v>
      </c>
      <c r="N62" s="268">
        <v>21</v>
      </c>
      <c r="O62" s="269">
        <v>4</v>
      </c>
      <c r="P62" s="141" t="s">
        <v>119</v>
      </c>
    </row>
    <row r="63" spans="4:19" s="141" customFormat="1" ht="15.75" customHeight="1">
      <c r="D63" s="270"/>
      <c r="E63" s="271" t="s">
        <v>308</v>
      </c>
      <c r="G63" s="272"/>
      <c r="P63" s="270" t="s">
        <v>119</v>
      </c>
      <c r="Q63" s="270" t="s">
        <v>112</v>
      </c>
      <c r="R63" s="270" t="s">
        <v>309</v>
      </c>
      <c r="S63" s="270" t="s">
        <v>111</v>
      </c>
    </row>
    <row r="64" spans="4:19" s="141" customFormat="1" ht="15.75" customHeight="1">
      <c r="D64" s="273"/>
      <c r="E64" s="274" t="s">
        <v>119</v>
      </c>
      <c r="G64" s="275">
        <v>2</v>
      </c>
      <c r="P64" s="273" t="s">
        <v>119</v>
      </c>
      <c r="Q64" s="273" t="s">
        <v>119</v>
      </c>
      <c r="R64" s="273" t="s">
        <v>309</v>
      </c>
      <c r="S64" s="273" t="s">
        <v>112</v>
      </c>
    </row>
    <row r="65" spans="1:16" s="141" customFormat="1" ht="13.5" customHeight="1">
      <c r="A65" s="262" t="s">
        <v>175</v>
      </c>
      <c r="B65" s="262" t="s">
        <v>114</v>
      </c>
      <c r="C65" s="262" t="s">
        <v>115</v>
      </c>
      <c r="D65" s="263" t="s">
        <v>176</v>
      </c>
      <c r="E65" s="264" t="s">
        <v>177</v>
      </c>
      <c r="F65" s="262" t="s">
        <v>118</v>
      </c>
      <c r="G65" s="265">
        <v>2</v>
      </c>
      <c r="H65" s="387"/>
      <c r="I65" s="266">
        <f>ROUND(G65*H65,2)</f>
        <v>0</v>
      </c>
      <c r="J65" s="267">
        <v>0</v>
      </c>
      <c r="K65" s="265">
        <f>G65*J65</f>
        <v>0</v>
      </c>
      <c r="L65" s="267">
        <v>0</v>
      </c>
      <c r="M65" s="265">
        <f>G65*L65</f>
        <v>0</v>
      </c>
      <c r="N65" s="268">
        <v>21</v>
      </c>
      <c r="O65" s="269">
        <v>4</v>
      </c>
      <c r="P65" s="141" t="s">
        <v>119</v>
      </c>
    </row>
    <row r="66" spans="4:19" s="141" customFormat="1" ht="15.75" customHeight="1">
      <c r="D66" s="270"/>
      <c r="E66" s="271" t="s">
        <v>308</v>
      </c>
      <c r="G66" s="272"/>
      <c r="P66" s="270" t="s">
        <v>119</v>
      </c>
      <c r="Q66" s="270" t="s">
        <v>112</v>
      </c>
      <c r="R66" s="270" t="s">
        <v>309</v>
      </c>
      <c r="S66" s="270" t="s">
        <v>111</v>
      </c>
    </row>
    <row r="67" spans="4:19" s="141" customFormat="1" ht="15.75" customHeight="1">
      <c r="D67" s="273"/>
      <c r="E67" s="274" t="s">
        <v>119</v>
      </c>
      <c r="G67" s="275">
        <v>2</v>
      </c>
      <c r="P67" s="273" t="s">
        <v>119</v>
      </c>
      <c r="Q67" s="273" t="s">
        <v>119</v>
      </c>
      <c r="R67" s="273" t="s">
        <v>309</v>
      </c>
      <c r="S67" s="273" t="s">
        <v>112</v>
      </c>
    </row>
    <row r="68" spans="1:16" s="141" customFormat="1" ht="13.5" customHeight="1">
      <c r="A68" s="262" t="s">
        <v>178</v>
      </c>
      <c r="B68" s="262" t="s">
        <v>114</v>
      </c>
      <c r="C68" s="262" t="s">
        <v>115</v>
      </c>
      <c r="D68" s="263" t="s">
        <v>179</v>
      </c>
      <c r="E68" s="264" t="s">
        <v>180</v>
      </c>
      <c r="F68" s="262" t="s">
        <v>118</v>
      </c>
      <c r="G68" s="265">
        <v>2</v>
      </c>
      <c r="H68" s="387"/>
      <c r="I68" s="266">
        <f>ROUND(G68*H68,2)</f>
        <v>0</v>
      </c>
      <c r="J68" s="267">
        <v>0</v>
      </c>
      <c r="K68" s="265">
        <f>G68*J68</f>
        <v>0</v>
      </c>
      <c r="L68" s="267">
        <v>0</v>
      </c>
      <c r="M68" s="265">
        <f>G68*L68</f>
        <v>0</v>
      </c>
      <c r="N68" s="268">
        <v>21</v>
      </c>
      <c r="O68" s="269">
        <v>4</v>
      </c>
      <c r="P68" s="141" t="s">
        <v>119</v>
      </c>
    </row>
    <row r="69" spans="4:19" s="141" customFormat="1" ht="15.75" customHeight="1">
      <c r="D69" s="270"/>
      <c r="E69" s="271" t="s">
        <v>308</v>
      </c>
      <c r="G69" s="272"/>
      <c r="P69" s="270" t="s">
        <v>119</v>
      </c>
      <c r="Q69" s="270" t="s">
        <v>112</v>
      </c>
      <c r="R69" s="270" t="s">
        <v>309</v>
      </c>
      <c r="S69" s="270" t="s">
        <v>111</v>
      </c>
    </row>
    <row r="70" spans="4:19" s="141" customFormat="1" ht="15.75" customHeight="1">
      <c r="D70" s="273"/>
      <c r="E70" s="274" t="s">
        <v>119</v>
      </c>
      <c r="G70" s="275">
        <v>2</v>
      </c>
      <c r="P70" s="273" t="s">
        <v>119</v>
      </c>
      <c r="Q70" s="273" t="s">
        <v>119</v>
      </c>
      <c r="R70" s="273" t="s">
        <v>309</v>
      </c>
      <c r="S70" s="273" t="s">
        <v>112</v>
      </c>
    </row>
    <row r="71" spans="1:16" s="141" customFormat="1" ht="13.5" customHeight="1">
      <c r="A71" s="262" t="s">
        <v>181</v>
      </c>
      <c r="B71" s="262" t="s">
        <v>114</v>
      </c>
      <c r="C71" s="262" t="s">
        <v>115</v>
      </c>
      <c r="D71" s="263" t="s">
        <v>182</v>
      </c>
      <c r="E71" s="264" t="s">
        <v>183</v>
      </c>
      <c r="F71" s="262" t="s">
        <v>141</v>
      </c>
      <c r="G71" s="265">
        <v>2026</v>
      </c>
      <c r="H71" s="387"/>
      <c r="I71" s="266">
        <f>ROUND(G71*H71,2)</f>
        <v>0</v>
      </c>
      <c r="J71" s="267">
        <v>0</v>
      </c>
      <c r="K71" s="265">
        <f>G71*J71</f>
        <v>0</v>
      </c>
      <c r="L71" s="267">
        <v>0</v>
      </c>
      <c r="M71" s="265">
        <f>G71*L71</f>
        <v>0</v>
      </c>
      <c r="N71" s="268">
        <v>21</v>
      </c>
      <c r="O71" s="269">
        <v>4</v>
      </c>
      <c r="P71" s="141" t="s">
        <v>119</v>
      </c>
    </row>
    <row r="72" spans="4:19" s="141" customFormat="1" ht="15.75" customHeight="1">
      <c r="D72" s="270"/>
      <c r="E72" s="271" t="s">
        <v>308</v>
      </c>
      <c r="G72" s="272"/>
      <c r="P72" s="270" t="s">
        <v>119</v>
      </c>
      <c r="Q72" s="270" t="s">
        <v>112</v>
      </c>
      <c r="R72" s="270" t="s">
        <v>309</v>
      </c>
      <c r="S72" s="270" t="s">
        <v>111</v>
      </c>
    </row>
    <row r="73" spans="4:19" s="141" customFormat="1" ht="15.75" customHeight="1">
      <c r="D73" s="270"/>
      <c r="E73" s="271" t="s">
        <v>319</v>
      </c>
      <c r="G73" s="272"/>
      <c r="P73" s="270" t="s">
        <v>119</v>
      </c>
      <c r="Q73" s="270" t="s">
        <v>112</v>
      </c>
      <c r="R73" s="270" t="s">
        <v>309</v>
      </c>
      <c r="S73" s="270" t="s">
        <v>111</v>
      </c>
    </row>
    <row r="74" spans="4:19" s="141" customFormat="1" ht="15.75" customHeight="1">
      <c r="D74" s="273"/>
      <c r="E74" s="274" t="s">
        <v>320</v>
      </c>
      <c r="G74" s="275">
        <v>93</v>
      </c>
      <c r="P74" s="273" t="s">
        <v>119</v>
      </c>
      <c r="Q74" s="273" t="s">
        <v>119</v>
      </c>
      <c r="R74" s="273" t="s">
        <v>309</v>
      </c>
      <c r="S74" s="273" t="s">
        <v>111</v>
      </c>
    </row>
    <row r="75" spans="4:19" s="141" customFormat="1" ht="15.75" customHeight="1">
      <c r="D75" s="270"/>
      <c r="E75" s="271" t="s">
        <v>321</v>
      </c>
      <c r="G75" s="276"/>
      <c r="P75" s="270" t="s">
        <v>119</v>
      </c>
      <c r="Q75" s="270" t="s">
        <v>112</v>
      </c>
      <c r="R75" s="270" t="s">
        <v>309</v>
      </c>
      <c r="S75" s="270" t="s">
        <v>111</v>
      </c>
    </row>
    <row r="76" spans="4:19" s="141" customFormat="1" ht="15.75" customHeight="1">
      <c r="D76" s="273"/>
      <c r="E76" s="274" t="s">
        <v>320</v>
      </c>
      <c r="G76" s="275">
        <v>93</v>
      </c>
      <c r="P76" s="273" t="s">
        <v>119</v>
      </c>
      <c r="Q76" s="273" t="s">
        <v>119</v>
      </c>
      <c r="R76" s="273" t="s">
        <v>309</v>
      </c>
      <c r="S76" s="273" t="s">
        <v>111</v>
      </c>
    </row>
    <row r="77" spans="4:19" s="141" customFormat="1" ht="15.75" customHeight="1">
      <c r="D77" s="270"/>
      <c r="E77" s="271" t="s">
        <v>322</v>
      </c>
      <c r="G77" s="276"/>
      <c r="P77" s="270" t="s">
        <v>119</v>
      </c>
      <c r="Q77" s="270" t="s">
        <v>112</v>
      </c>
      <c r="R77" s="270" t="s">
        <v>309</v>
      </c>
      <c r="S77" s="270" t="s">
        <v>111</v>
      </c>
    </row>
    <row r="78" spans="4:19" s="141" customFormat="1" ht="15.75" customHeight="1">
      <c r="D78" s="273"/>
      <c r="E78" s="274" t="s">
        <v>323</v>
      </c>
      <c r="G78" s="275">
        <v>920</v>
      </c>
      <c r="P78" s="273" t="s">
        <v>119</v>
      </c>
      <c r="Q78" s="273" t="s">
        <v>119</v>
      </c>
      <c r="R78" s="273" t="s">
        <v>309</v>
      </c>
      <c r="S78" s="273" t="s">
        <v>111</v>
      </c>
    </row>
    <row r="79" spans="4:19" s="141" customFormat="1" ht="15.75" customHeight="1">
      <c r="D79" s="270"/>
      <c r="E79" s="271" t="s">
        <v>324</v>
      </c>
      <c r="G79" s="276"/>
      <c r="P79" s="270" t="s">
        <v>119</v>
      </c>
      <c r="Q79" s="270" t="s">
        <v>112</v>
      </c>
      <c r="R79" s="270" t="s">
        <v>309</v>
      </c>
      <c r="S79" s="270" t="s">
        <v>111</v>
      </c>
    </row>
    <row r="80" spans="4:19" s="141" customFormat="1" ht="15.75" customHeight="1">
      <c r="D80" s="273"/>
      <c r="E80" s="274" t="s">
        <v>323</v>
      </c>
      <c r="G80" s="275">
        <v>920</v>
      </c>
      <c r="P80" s="273" t="s">
        <v>119</v>
      </c>
      <c r="Q80" s="273" t="s">
        <v>119</v>
      </c>
      <c r="R80" s="273" t="s">
        <v>309</v>
      </c>
      <c r="S80" s="273" t="s">
        <v>111</v>
      </c>
    </row>
    <row r="81" spans="4:19" s="141" customFormat="1" ht="15.75" customHeight="1">
      <c r="D81" s="277"/>
      <c r="E81" s="278" t="s">
        <v>318</v>
      </c>
      <c r="G81" s="279">
        <v>2026</v>
      </c>
      <c r="P81" s="277" t="s">
        <v>119</v>
      </c>
      <c r="Q81" s="277" t="s">
        <v>127</v>
      </c>
      <c r="R81" s="277" t="s">
        <v>309</v>
      </c>
      <c r="S81" s="277" t="s">
        <v>112</v>
      </c>
    </row>
    <row r="82" spans="1:16" s="141" customFormat="1" ht="13.5" customHeight="1">
      <c r="A82" s="262" t="s">
        <v>184</v>
      </c>
      <c r="B82" s="262" t="s">
        <v>114</v>
      </c>
      <c r="C82" s="262" t="s">
        <v>115</v>
      </c>
      <c r="D82" s="263" t="s">
        <v>185</v>
      </c>
      <c r="E82" s="264" t="s">
        <v>186</v>
      </c>
      <c r="F82" s="262" t="s">
        <v>141</v>
      </c>
      <c r="G82" s="265">
        <v>930</v>
      </c>
      <c r="H82" s="387"/>
      <c r="I82" s="266">
        <f>ROUND(G82*H82,2)</f>
        <v>0</v>
      </c>
      <c r="J82" s="267">
        <v>0</v>
      </c>
      <c r="K82" s="265">
        <f>G82*J82</f>
        <v>0</v>
      </c>
      <c r="L82" s="267">
        <v>0</v>
      </c>
      <c r="M82" s="265">
        <f>G82*L82</f>
        <v>0</v>
      </c>
      <c r="N82" s="268">
        <v>21</v>
      </c>
      <c r="O82" s="269">
        <v>4</v>
      </c>
      <c r="P82" s="141" t="s">
        <v>119</v>
      </c>
    </row>
    <row r="83" spans="4:19" s="141" customFormat="1" ht="15.75" customHeight="1">
      <c r="D83" s="270"/>
      <c r="E83" s="271" t="s">
        <v>308</v>
      </c>
      <c r="G83" s="272"/>
      <c r="P83" s="270" t="s">
        <v>119</v>
      </c>
      <c r="Q83" s="270" t="s">
        <v>112</v>
      </c>
      <c r="R83" s="270" t="s">
        <v>309</v>
      </c>
      <c r="S83" s="270" t="s">
        <v>111</v>
      </c>
    </row>
    <row r="84" spans="4:19" s="141" customFormat="1" ht="15.75" customHeight="1">
      <c r="D84" s="270"/>
      <c r="E84" s="271" t="s">
        <v>325</v>
      </c>
      <c r="G84" s="272"/>
      <c r="P84" s="270" t="s">
        <v>119</v>
      </c>
      <c r="Q84" s="270" t="s">
        <v>112</v>
      </c>
      <c r="R84" s="270" t="s">
        <v>309</v>
      </c>
      <c r="S84" s="270" t="s">
        <v>111</v>
      </c>
    </row>
    <row r="85" spans="4:19" s="141" customFormat="1" ht="15.75" customHeight="1">
      <c r="D85" s="273"/>
      <c r="E85" s="274" t="s">
        <v>326</v>
      </c>
      <c r="G85" s="275">
        <v>930</v>
      </c>
      <c r="P85" s="273" t="s">
        <v>119</v>
      </c>
      <c r="Q85" s="273" t="s">
        <v>119</v>
      </c>
      <c r="R85" s="273" t="s">
        <v>309</v>
      </c>
      <c r="S85" s="273" t="s">
        <v>112</v>
      </c>
    </row>
    <row r="86" spans="1:16" s="141" customFormat="1" ht="13.5" customHeight="1">
      <c r="A86" s="262" t="s">
        <v>187</v>
      </c>
      <c r="B86" s="262" t="s">
        <v>114</v>
      </c>
      <c r="C86" s="262" t="s">
        <v>188</v>
      </c>
      <c r="D86" s="263" t="s">
        <v>189</v>
      </c>
      <c r="E86" s="264" t="s">
        <v>190</v>
      </c>
      <c r="F86" s="262" t="s">
        <v>141</v>
      </c>
      <c r="G86" s="265">
        <v>930</v>
      </c>
      <c r="H86" s="387"/>
      <c r="I86" s="266">
        <f>ROUND(G86*H86,2)</f>
        <v>0</v>
      </c>
      <c r="J86" s="267">
        <v>0</v>
      </c>
      <c r="K86" s="265">
        <f>G86*J86</f>
        <v>0</v>
      </c>
      <c r="L86" s="267">
        <v>0</v>
      </c>
      <c r="M86" s="265">
        <f>G86*L86</f>
        <v>0</v>
      </c>
      <c r="N86" s="268">
        <v>21</v>
      </c>
      <c r="O86" s="269">
        <v>4</v>
      </c>
      <c r="P86" s="141" t="s">
        <v>119</v>
      </c>
    </row>
    <row r="87" spans="4:19" s="141" customFormat="1" ht="15.75" customHeight="1">
      <c r="D87" s="270"/>
      <c r="E87" s="271" t="s">
        <v>308</v>
      </c>
      <c r="G87" s="272"/>
      <c r="P87" s="270" t="s">
        <v>119</v>
      </c>
      <c r="Q87" s="270" t="s">
        <v>112</v>
      </c>
      <c r="R87" s="270" t="s">
        <v>309</v>
      </c>
      <c r="S87" s="270" t="s">
        <v>111</v>
      </c>
    </row>
    <row r="88" spans="4:19" s="141" customFormat="1" ht="15.75" customHeight="1">
      <c r="D88" s="270"/>
      <c r="E88" s="271" t="s">
        <v>327</v>
      </c>
      <c r="G88" s="272"/>
      <c r="P88" s="270" t="s">
        <v>119</v>
      </c>
      <c r="Q88" s="270" t="s">
        <v>112</v>
      </c>
      <c r="R88" s="270" t="s">
        <v>309</v>
      </c>
      <c r="S88" s="270" t="s">
        <v>111</v>
      </c>
    </row>
    <row r="89" spans="4:19" s="141" customFormat="1" ht="15.75" customHeight="1">
      <c r="D89" s="273"/>
      <c r="E89" s="274" t="s">
        <v>326</v>
      </c>
      <c r="G89" s="275">
        <v>930</v>
      </c>
      <c r="P89" s="273" t="s">
        <v>119</v>
      </c>
      <c r="Q89" s="273" t="s">
        <v>119</v>
      </c>
      <c r="R89" s="273" t="s">
        <v>309</v>
      </c>
      <c r="S89" s="273" t="s">
        <v>112</v>
      </c>
    </row>
    <row r="90" spans="1:16" s="141" customFormat="1" ht="13.5" customHeight="1">
      <c r="A90" s="262" t="s">
        <v>191</v>
      </c>
      <c r="B90" s="262" t="s">
        <v>114</v>
      </c>
      <c r="C90" s="262" t="s">
        <v>115</v>
      </c>
      <c r="D90" s="263" t="s">
        <v>192</v>
      </c>
      <c r="E90" s="264" t="s">
        <v>193</v>
      </c>
      <c r="F90" s="262" t="s">
        <v>141</v>
      </c>
      <c r="G90" s="265">
        <v>1013</v>
      </c>
      <c r="H90" s="387"/>
      <c r="I90" s="266">
        <f>ROUND(G90*H90,2)</f>
        <v>0</v>
      </c>
      <c r="J90" s="267">
        <v>0</v>
      </c>
      <c r="K90" s="265">
        <f>G90*J90</f>
        <v>0</v>
      </c>
      <c r="L90" s="267">
        <v>0</v>
      </c>
      <c r="M90" s="265">
        <f>G90*L90</f>
        <v>0</v>
      </c>
      <c r="N90" s="268">
        <v>21</v>
      </c>
      <c r="O90" s="269">
        <v>4</v>
      </c>
      <c r="P90" s="141" t="s">
        <v>119</v>
      </c>
    </row>
    <row r="91" spans="4:19" s="141" customFormat="1" ht="15.75" customHeight="1">
      <c r="D91" s="270"/>
      <c r="E91" s="271" t="s">
        <v>308</v>
      </c>
      <c r="G91" s="272"/>
      <c r="P91" s="270" t="s">
        <v>119</v>
      </c>
      <c r="Q91" s="270" t="s">
        <v>112</v>
      </c>
      <c r="R91" s="270" t="s">
        <v>309</v>
      </c>
      <c r="S91" s="270" t="s">
        <v>111</v>
      </c>
    </row>
    <row r="92" spans="4:19" s="141" customFormat="1" ht="15.75" customHeight="1">
      <c r="D92" s="270"/>
      <c r="E92" s="271" t="s">
        <v>328</v>
      </c>
      <c r="G92" s="272"/>
      <c r="P92" s="270" t="s">
        <v>119</v>
      </c>
      <c r="Q92" s="270" t="s">
        <v>112</v>
      </c>
      <c r="R92" s="270" t="s">
        <v>309</v>
      </c>
      <c r="S92" s="270" t="s">
        <v>111</v>
      </c>
    </row>
    <row r="93" spans="4:19" s="141" customFormat="1" ht="15.75" customHeight="1">
      <c r="D93" s="270"/>
      <c r="E93" s="271" t="s">
        <v>329</v>
      </c>
      <c r="G93" s="272"/>
      <c r="P93" s="270" t="s">
        <v>119</v>
      </c>
      <c r="Q93" s="270" t="s">
        <v>112</v>
      </c>
      <c r="R93" s="270" t="s">
        <v>309</v>
      </c>
      <c r="S93" s="270" t="s">
        <v>111</v>
      </c>
    </row>
    <row r="94" spans="4:19" s="141" customFormat="1" ht="15.75" customHeight="1">
      <c r="D94" s="273"/>
      <c r="E94" s="274" t="s">
        <v>320</v>
      </c>
      <c r="G94" s="275">
        <v>93</v>
      </c>
      <c r="P94" s="273" t="s">
        <v>119</v>
      </c>
      <c r="Q94" s="273" t="s">
        <v>119</v>
      </c>
      <c r="R94" s="273" t="s">
        <v>309</v>
      </c>
      <c r="S94" s="273" t="s">
        <v>111</v>
      </c>
    </row>
    <row r="95" spans="4:19" s="141" customFormat="1" ht="15.75" customHeight="1">
      <c r="D95" s="270"/>
      <c r="E95" s="271" t="s">
        <v>325</v>
      </c>
      <c r="G95" s="276"/>
      <c r="P95" s="270" t="s">
        <v>119</v>
      </c>
      <c r="Q95" s="270" t="s">
        <v>112</v>
      </c>
      <c r="R95" s="270" t="s">
        <v>309</v>
      </c>
      <c r="S95" s="270" t="s">
        <v>111</v>
      </c>
    </row>
    <row r="96" spans="4:19" s="141" customFormat="1" ht="15.75" customHeight="1">
      <c r="D96" s="273"/>
      <c r="E96" s="274" t="s">
        <v>323</v>
      </c>
      <c r="G96" s="275">
        <v>920</v>
      </c>
      <c r="P96" s="273" t="s">
        <v>119</v>
      </c>
      <c r="Q96" s="273" t="s">
        <v>119</v>
      </c>
      <c r="R96" s="273" t="s">
        <v>309</v>
      </c>
      <c r="S96" s="273" t="s">
        <v>111</v>
      </c>
    </row>
    <row r="97" spans="4:19" s="141" customFormat="1" ht="15.75" customHeight="1">
      <c r="D97" s="277"/>
      <c r="E97" s="278" t="s">
        <v>318</v>
      </c>
      <c r="G97" s="279">
        <v>1013</v>
      </c>
      <c r="P97" s="277" t="s">
        <v>119</v>
      </c>
      <c r="Q97" s="277" t="s">
        <v>127</v>
      </c>
      <c r="R97" s="277" t="s">
        <v>309</v>
      </c>
      <c r="S97" s="277" t="s">
        <v>112</v>
      </c>
    </row>
    <row r="98" spans="1:16" s="141" customFormat="1" ht="13.5" customHeight="1">
      <c r="A98" s="262" t="s">
        <v>194</v>
      </c>
      <c r="B98" s="262" t="s">
        <v>114</v>
      </c>
      <c r="C98" s="262" t="s">
        <v>115</v>
      </c>
      <c r="D98" s="263" t="s">
        <v>195</v>
      </c>
      <c r="E98" s="264" t="s">
        <v>196</v>
      </c>
      <c r="F98" s="262" t="s">
        <v>141</v>
      </c>
      <c r="G98" s="265">
        <v>1013</v>
      </c>
      <c r="H98" s="387"/>
      <c r="I98" s="266">
        <f>ROUND(G98*H98,2)</f>
        <v>0</v>
      </c>
      <c r="J98" s="267">
        <v>0</v>
      </c>
      <c r="K98" s="265">
        <f>G98*J98</f>
        <v>0</v>
      </c>
      <c r="L98" s="267">
        <v>0</v>
      </c>
      <c r="M98" s="265">
        <f>G98*L98</f>
        <v>0</v>
      </c>
      <c r="N98" s="268">
        <v>21</v>
      </c>
      <c r="O98" s="269">
        <v>4</v>
      </c>
      <c r="P98" s="141" t="s">
        <v>119</v>
      </c>
    </row>
    <row r="99" spans="4:19" s="141" customFormat="1" ht="15.75" customHeight="1">
      <c r="D99" s="270"/>
      <c r="E99" s="271" t="s">
        <v>308</v>
      </c>
      <c r="G99" s="272"/>
      <c r="P99" s="270" t="s">
        <v>119</v>
      </c>
      <c r="Q99" s="270" t="s">
        <v>112</v>
      </c>
      <c r="R99" s="270" t="s">
        <v>309</v>
      </c>
      <c r="S99" s="270" t="s">
        <v>111</v>
      </c>
    </row>
    <row r="100" spans="4:19" s="141" customFormat="1" ht="15.75" customHeight="1">
      <c r="D100" s="270"/>
      <c r="E100" s="271" t="s">
        <v>328</v>
      </c>
      <c r="G100" s="272"/>
      <c r="P100" s="270" t="s">
        <v>119</v>
      </c>
      <c r="Q100" s="270" t="s">
        <v>112</v>
      </c>
      <c r="R100" s="270" t="s">
        <v>309</v>
      </c>
      <c r="S100" s="270" t="s">
        <v>111</v>
      </c>
    </row>
    <row r="101" spans="4:19" s="141" customFormat="1" ht="15.75" customHeight="1">
      <c r="D101" s="270"/>
      <c r="E101" s="271" t="s">
        <v>329</v>
      </c>
      <c r="G101" s="272"/>
      <c r="P101" s="270" t="s">
        <v>119</v>
      </c>
      <c r="Q101" s="270" t="s">
        <v>112</v>
      </c>
      <c r="R101" s="270" t="s">
        <v>309</v>
      </c>
      <c r="S101" s="270" t="s">
        <v>111</v>
      </c>
    </row>
    <row r="102" spans="4:19" s="141" customFormat="1" ht="15.75" customHeight="1">
      <c r="D102" s="273"/>
      <c r="E102" s="274" t="s">
        <v>320</v>
      </c>
      <c r="G102" s="275">
        <v>93</v>
      </c>
      <c r="P102" s="273" t="s">
        <v>119</v>
      </c>
      <c r="Q102" s="273" t="s">
        <v>119</v>
      </c>
      <c r="R102" s="273" t="s">
        <v>309</v>
      </c>
      <c r="S102" s="273" t="s">
        <v>111</v>
      </c>
    </row>
    <row r="103" spans="4:19" s="141" customFormat="1" ht="15.75" customHeight="1">
      <c r="D103" s="270"/>
      <c r="E103" s="271" t="s">
        <v>325</v>
      </c>
      <c r="G103" s="276"/>
      <c r="P103" s="270" t="s">
        <v>119</v>
      </c>
      <c r="Q103" s="270" t="s">
        <v>112</v>
      </c>
      <c r="R103" s="270" t="s">
        <v>309</v>
      </c>
      <c r="S103" s="270" t="s">
        <v>111</v>
      </c>
    </row>
    <row r="104" spans="4:19" s="141" customFormat="1" ht="15.75" customHeight="1">
      <c r="D104" s="273"/>
      <c r="E104" s="274" t="s">
        <v>323</v>
      </c>
      <c r="G104" s="275">
        <v>920</v>
      </c>
      <c r="P104" s="273" t="s">
        <v>119</v>
      </c>
      <c r="Q104" s="273" t="s">
        <v>119</v>
      </c>
      <c r="R104" s="273" t="s">
        <v>309</v>
      </c>
      <c r="S104" s="273" t="s">
        <v>111</v>
      </c>
    </row>
    <row r="105" spans="4:19" s="141" customFormat="1" ht="15.75" customHeight="1">
      <c r="D105" s="277"/>
      <c r="E105" s="278" t="s">
        <v>318</v>
      </c>
      <c r="G105" s="279">
        <v>1013</v>
      </c>
      <c r="P105" s="277" t="s">
        <v>119</v>
      </c>
      <c r="Q105" s="277" t="s">
        <v>127</v>
      </c>
      <c r="R105" s="277" t="s">
        <v>309</v>
      </c>
      <c r="S105" s="277" t="s">
        <v>112</v>
      </c>
    </row>
    <row r="106" spans="1:16" s="141" customFormat="1" ht="13.5" customHeight="1">
      <c r="A106" s="262" t="s">
        <v>197</v>
      </c>
      <c r="B106" s="262" t="s">
        <v>114</v>
      </c>
      <c r="C106" s="262" t="s">
        <v>115</v>
      </c>
      <c r="D106" s="263" t="s">
        <v>198</v>
      </c>
      <c r="E106" s="264" t="s">
        <v>199</v>
      </c>
      <c r="F106" s="262" t="s">
        <v>141</v>
      </c>
      <c r="G106" s="265">
        <v>1833.5</v>
      </c>
      <c r="H106" s="387"/>
      <c r="I106" s="266">
        <f>ROUND(G106*H106,2)</f>
        <v>0</v>
      </c>
      <c r="J106" s="267">
        <v>0</v>
      </c>
      <c r="K106" s="265">
        <f>G106*J106</f>
        <v>0</v>
      </c>
      <c r="L106" s="267">
        <v>0</v>
      </c>
      <c r="M106" s="265">
        <f>G106*L106</f>
        <v>0</v>
      </c>
      <c r="N106" s="268">
        <v>21</v>
      </c>
      <c r="O106" s="269">
        <v>4</v>
      </c>
      <c r="P106" s="141" t="s">
        <v>119</v>
      </c>
    </row>
    <row r="107" spans="4:19" s="141" customFormat="1" ht="15.75" customHeight="1">
      <c r="D107" s="270"/>
      <c r="E107" s="271" t="s">
        <v>308</v>
      </c>
      <c r="G107" s="272"/>
      <c r="P107" s="270" t="s">
        <v>119</v>
      </c>
      <c r="Q107" s="270" t="s">
        <v>112</v>
      </c>
      <c r="R107" s="270" t="s">
        <v>309</v>
      </c>
      <c r="S107" s="270" t="s">
        <v>111</v>
      </c>
    </row>
    <row r="108" spans="4:19" s="141" customFormat="1" ht="15.75" customHeight="1">
      <c r="D108" s="273"/>
      <c r="E108" s="274" t="s">
        <v>314</v>
      </c>
      <c r="G108" s="275">
        <v>1850</v>
      </c>
      <c r="P108" s="273" t="s">
        <v>119</v>
      </c>
      <c r="Q108" s="273" t="s">
        <v>119</v>
      </c>
      <c r="R108" s="273" t="s">
        <v>309</v>
      </c>
      <c r="S108" s="273" t="s">
        <v>111</v>
      </c>
    </row>
    <row r="109" spans="4:19" s="141" customFormat="1" ht="15.75" customHeight="1">
      <c r="D109" s="270"/>
      <c r="E109" s="271" t="s">
        <v>330</v>
      </c>
      <c r="G109" s="276"/>
      <c r="P109" s="270" t="s">
        <v>119</v>
      </c>
      <c r="Q109" s="270" t="s">
        <v>112</v>
      </c>
      <c r="R109" s="270" t="s">
        <v>309</v>
      </c>
      <c r="S109" s="270" t="s">
        <v>111</v>
      </c>
    </row>
    <row r="110" spans="4:19" s="141" customFormat="1" ht="15.75" customHeight="1">
      <c r="D110" s="273"/>
      <c r="E110" s="274" t="s">
        <v>331</v>
      </c>
      <c r="G110" s="299">
        <v>-16.5</v>
      </c>
      <c r="P110" s="273" t="s">
        <v>119</v>
      </c>
      <c r="Q110" s="273" t="s">
        <v>119</v>
      </c>
      <c r="R110" s="273" t="s">
        <v>309</v>
      </c>
      <c r="S110" s="273" t="s">
        <v>111</v>
      </c>
    </row>
    <row r="111" spans="4:19" s="141" customFormat="1" ht="15.75" customHeight="1">
      <c r="D111" s="277"/>
      <c r="E111" s="278" t="s">
        <v>318</v>
      </c>
      <c r="G111" s="279">
        <v>1833.5</v>
      </c>
      <c r="P111" s="277" t="s">
        <v>119</v>
      </c>
      <c r="Q111" s="277" t="s">
        <v>127</v>
      </c>
      <c r="R111" s="277" t="s">
        <v>309</v>
      </c>
      <c r="S111" s="277" t="s">
        <v>112</v>
      </c>
    </row>
    <row r="112" spans="1:16" s="141" customFormat="1" ht="24" customHeight="1">
      <c r="A112" s="262" t="s">
        <v>200</v>
      </c>
      <c r="B112" s="262" t="s">
        <v>114</v>
      </c>
      <c r="C112" s="262" t="s">
        <v>115</v>
      </c>
      <c r="D112" s="263" t="s">
        <v>201</v>
      </c>
      <c r="E112" s="264" t="s">
        <v>202</v>
      </c>
      <c r="F112" s="262" t="s">
        <v>141</v>
      </c>
      <c r="G112" s="265">
        <v>16.5</v>
      </c>
      <c r="H112" s="387"/>
      <c r="I112" s="266">
        <f>ROUND(G112*H112,2)</f>
        <v>0</v>
      </c>
      <c r="J112" s="267">
        <v>0</v>
      </c>
      <c r="K112" s="265">
        <f>G112*J112</f>
        <v>0</v>
      </c>
      <c r="L112" s="267">
        <v>0</v>
      </c>
      <c r="M112" s="265">
        <f>G112*L112</f>
        <v>0</v>
      </c>
      <c r="N112" s="268">
        <v>21</v>
      </c>
      <c r="O112" s="269">
        <v>4</v>
      </c>
      <c r="P112" s="141" t="s">
        <v>119</v>
      </c>
    </row>
    <row r="113" spans="4:19" s="141" customFormat="1" ht="15.75" customHeight="1">
      <c r="D113" s="270"/>
      <c r="E113" s="271" t="s">
        <v>308</v>
      </c>
      <c r="G113" s="272"/>
      <c r="P113" s="270" t="s">
        <v>119</v>
      </c>
      <c r="Q113" s="270" t="s">
        <v>112</v>
      </c>
      <c r="R113" s="270" t="s">
        <v>309</v>
      </c>
      <c r="S113" s="270" t="s">
        <v>111</v>
      </c>
    </row>
    <row r="114" spans="4:19" s="141" customFormat="1" ht="15.75" customHeight="1">
      <c r="D114" s="270"/>
      <c r="E114" s="271" t="s">
        <v>332</v>
      </c>
      <c r="G114" s="272"/>
      <c r="P114" s="270" t="s">
        <v>119</v>
      </c>
      <c r="Q114" s="270" t="s">
        <v>112</v>
      </c>
      <c r="R114" s="270" t="s">
        <v>309</v>
      </c>
      <c r="S114" s="270" t="s">
        <v>111</v>
      </c>
    </row>
    <row r="115" spans="4:19" s="141" customFormat="1" ht="15.75" customHeight="1">
      <c r="D115" s="273"/>
      <c r="E115" s="274" t="s">
        <v>333</v>
      </c>
      <c r="G115" s="299">
        <v>16.5</v>
      </c>
      <c r="P115" s="273" t="s">
        <v>119</v>
      </c>
      <c r="Q115" s="273" t="s">
        <v>119</v>
      </c>
      <c r="R115" s="273" t="s">
        <v>309</v>
      </c>
      <c r="S115" s="273" t="s">
        <v>112</v>
      </c>
    </row>
    <row r="116" spans="1:16" s="141" customFormat="1" ht="13.5" customHeight="1">
      <c r="A116" s="280" t="s">
        <v>203</v>
      </c>
      <c r="B116" s="280" t="s">
        <v>204</v>
      </c>
      <c r="C116" s="280" t="s">
        <v>205</v>
      </c>
      <c r="D116" s="281" t="s">
        <v>206</v>
      </c>
      <c r="E116" s="282" t="s">
        <v>207</v>
      </c>
      <c r="F116" s="280" t="s">
        <v>208</v>
      </c>
      <c r="G116" s="283">
        <v>33</v>
      </c>
      <c r="H116" s="388"/>
      <c r="I116" s="284">
        <f>ROUND(G116*H116,2)</f>
        <v>0</v>
      </c>
      <c r="J116" s="285">
        <v>1</v>
      </c>
      <c r="K116" s="283">
        <f>G116*J116</f>
        <v>33</v>
      </c>
      <c r="L116" s="285">
        <v>0</v>
      </c>
      <c r="M116" s="283">
        <f>G116*L116</f>
        <v>0</v>
      </c>
      <c r="N116" s="286">
        <v>21</v>
      </c>
      <c r="O116" s="287">
        <v>8</v>
      </c>
      <c r="P116" s="288" t="s">
        <v>119</v>
      </c>
    </row>
    <row r="117" spans="1:16" s="141" customFormat="1" ht="24" customHeight="1">
      <c r="A117" s="262" t="s">
        <v>209</v>
      </c>
      <c r="B117" s="262" t="s">
        <v>114</v>
      </c>
      <c r="C117" s="262" t="s">
        <v>115</v>
      </c>
      <c r="D117" s="263" t="s">
        <v>210</v>
      </c>
      <c r="E117" s="264" t="s">
        <v>211</v>
      </c>
      <c r="F117" s="262" t="s">
        <v>126</v>
      </c>
      <c r="G117" s="265">
        <v>465</v>
      </c>
      <c r="H117" s="387"/>
      <c r="I117" s="266">
        <f>ROUND(G117*H117,2)</f>
        <v>0</v>
      </c>
      <c r="J117" s="267">
        <v>0</v>
      </c>
      <c r="K117" s="265">
        <f>G117*J117</f>
        <v>0</v>
      </c>
      <c r="L117" s="267">
        <v>0</v>
      </c>
      <c r="M117" s="265">
        <f>G117*L117</f>
        <v>0</v>
      </c>
      <c r="N117" s="268">
        <v>21</v>
      </c>
      <c r="O117" s="269">
        <v>4</v>
      </c>
      <c r="P117" s="141" t="s">
        <v>119</v>
      </c>
    </row>
    <row r="118" spans="4:19" s="141" customFormat="1" ht="15.75" customHeight="1">
      <c r="D118" s="270"/>
      <c r="E118" s="271" t="s">
        <v>308</v>
      </c>
      <c r="G118" s="272"/>
      <c r="P118" s="270" t="s">
        <v>119</v>
      </c>
      <c r="Q118" s="270" t="s">
        <v>112</v>
      </c>
      <c r="R118" s="270" t="s">
        <v>309</v>
      </c>
      <c r="S118" s="270" t="s">
        <v>111</v>
      </c>
    </row>
    <row r="119" spans="4:19" s="141" customFormat="1" ht="15.75" customHeight="1">
      <c r="D119" s="273"/>
      <c r="E119" s="274" t="s">
        <v>334</v>
      </c>
      <c r="G119" s="275">
        <v>465</v>
      </c>
      <c r="P119" s="273" t="s">
        <v>119</v>
      </c>
      <c r="Q119" s="273" t="s">
        <v>119</v>
      </c>
      <c r="R119" s="273" t="s">
        <v>309</v>
      </c>
      <c r="S119" s="273" t="s">
        <v>112</v>
      </c>
    </row>
    <row r="120" spans="1:16" s="141" customFormat="1" ht="24" customHeight="1">
      <c r="A120" s="262" t="s">
        <v>212</v>
      </c>
      <c r="B120" s="262" t="s">
        <v>114</v>
      </c>
      <c r="C120" s="262" t="s">
        <v>213</v>
      </c>
      <c r="D120" s="263" t="s">
        <v>214</v>
      </c>
      <c r="E120" s="264" t="s">
        <v>215</v>
      </c>
      <c r="F120" s="262" t="s">
        <v>126</v>
      </c>
      <c r="G120" s="265">
        <v>465</v>
      </c>
      <c r="H120" s="387"/>
      <c r="I120" s="266">
        <f>ROUND(G120*H120,2)</f>
        <v>0</v>
      </c>
      <c r="J120" s="267">
        <v>0</v>
      </c>
      <c r="K120" s="265">
        <f>G120*J120</f>
        <v>0</v>
      </c>
      <c r="L120" s="267">
        <v>0</v>
      </c>
      <c r="M120" s="265">
        <f>G120*L120</f>
        <v>0</v>
      </c>
      <c r="N120" s="268">
        <v>21</v>
      </c>
      <c r="O120" s="269">
        <v>4</v>
      </c>
      <c r="P120" s="141" t="s">
        <v>119</v>
      </c>
    </row>
    <row r="121" spans="4:19" s="141" customFormat="1" ht="15.75" customHeight="1">
      <c r="D121" s="270"/>
      <c r="E121" s="271" t="s">
        <v>308</v>
      </c>
      <c r="G121" s="272"/>
      <c r="P121" s="270" t="s">
        <v>119</v>
      </c>
      <c r="Q121" s="270" t="s">
        <v>112</v>
      </c>
      <c r="R121" s="270" t="s">
        <v>309</v>
      </c>
      <c r="S121" s="270" t="s">
        <v>111</v>
      </c>
    </row>
    <row r="122" spans="4:19" s="141" customFormat="1" ht="15.75" customHeight="1">
      <c r="D122" s="273"/>
      <c r="E122" s="274" t="s">
        <v>334</v>
      </c>
      <c r="G122" s="275">
        <v>465</v>
      </c>
      <c r="P122" s="273" t="s">
        <v>119</v>
      </c>
      <c r="Q122" s="273" t="s">
        <v>119</v>
      </c>
      <c r="R122" s="273" t="s">
        <v>309</v>
      </c>
      <c r="S122" s="273" t="s">
        <v>112</v>
      </c>
    </row>
    <row r="123" spans="1:16" s="141" customFormat="1" ht="13.5" customHeight="1">
      <c r="A123" s="280" t="s">
        <v>216</v>
      </c>
      <c r="B123" s="280" t="s">
        <v>204</v>
      </c>
      <c r="C123" s="280" t="s">
        <v>205</v>
      </c>
      <c r="D123" s="281" t="s">
        <v>217</v>
      </c>
      <c r="E123" s="282" t="s">
        <v>218</v>
      </c>
      <c r="F123" s="280" t="s">
        <v>219</v>
      </c>
      <c r="G123" s="283">
        <v>11.625</v>
      </c>
      <c r="H123" s="388"/>
      <c r="I123" s="284">
        <f>ROUND(G123*H123,2)</f>
        <v>0</v>
      </c>
      <c r="J123" s="285">
        <v>0.001</v>
      </c>
      <c r="K123" s="283">
        <f>G123*J123</f>
        <v>0.011625</v>
      </c>
      <c r="L123" s="285">
        <v>0</v>
      </c>
      <c r="M123" s="283">
        <f>G123*L123</f>
        <v>0</v>
      </c>
      <c r="N123" s="286">
        <v>21</v>
      </c>
      <c r="O123" s="287">
        <v>8</v>
      </c>
      <c r="P123" s="288" t="s">
        <v>119</v>
      </c>
    </row>
    <row r="124" spans="1:16" s="141" customFormat="1" ht="13.5" customHeight="1">
      <c r="A124" s="262" t="s">
        <v>220</v>
      </c>
      <c r="B124" s="262" t="s">
        <v>114</v>
      </c>
      <c r="C124" s="262" t="s">
        <v>213</v>
      </c>
      <c r="D124" s="263" t="s">
        <v>221</v>
      </c>
      <c r="E124" s="264" t="s">
        <v>222</v>
      </c>
      <c r="F124" s="262" t="s">
        <v>126</v>
      </c>
      <c r="G124" s="265">
        <v>465</v>
      </c>
      <c r="H124" s="387"/>
      <c r="I124" s="266">
        <f>ROUND(G124*H124,2)</f>
        <v>0</v>
      </c>
      <c r="J124" s="267">
        <v>0</v>
      </c>
      <c r="K124" s="265">
        <f>G124*J124</f>
        <v>0</v>
      </c>
      <c r="L124" s="267">
        <v>0</v>
      </c>
      <c r="M124" s="265">
        <f>G124*L124</f>
        <v>0</v>
      </c>
      <c r="N124" s="268">
        <v>21</v>
      </c>
      <c r="O124" s="269">
        <v>4</v>
      </c>
      <c r="P124" s="141" t="s">
        <v>119</v>
      </c>
    </row>
    <row r="125" spans="4:19" s="141" customFormat="1" ht="15.75" customHeight="1">
      <c r="D125" s="270"/>
      <c r="E125" s="271" t="s">
        <v>308</v>
      </c>
      <c r="G125" s="272"/>
      <c r="P125" s="270" t="s">
        <v>119</v>
      </c>
      <c r="Q125" s="270" t="s">
        <v>112</v>
      </c>
      <c r="R125" s="270" t="s">
        <v>309</v>
      </c>
      <c r="S125" s="270" t="s">
        <v>111</v>
      </c>
    </row>
    <row r="126" spans="4:19" s="141" customFormat="1" ht="15.75" customHeight="1">
      <c r="D126" s="273"/>
      <c r="E126" s="274" t="s">
        <v>334</v>
      </c>
      <c r="G126" s="275">
        <v>465</v>
      </c>
      <c r="P126" s="273" t="s">
        <v>119</v>
      </c>
      <c r="Q126" s="273" t="s">
        <v>119</v>
      </c>
      <c r="R126" s="273" t="s">
        <v>309</v>
      </c>
      <c r="S126" s="273" t="s">
        <v>112</v>
      </c>
    </row>
    <row r="127" spans="1:16" s="141" customFormat="1" ht="13.5" customHeight="1">
      <c r="A127" s="262" t="s">
        <v>223</v>
      </c>
      <c r="B127" s="262" t="s">
        <v>114</v>
      </c>
      <c r="C127" s="262" t="s">
        <v>213</v>
      </c>
      <c r="D127" s="263" t="s">
        <v>224</v>
      </c>
      <c r="E127" s="264" t="s">
        <v>225</v>
      </c>
      <c r="F127" s="262" t="s">
        <v>126</v>
      </c>
      <c r="G127" s="265">
        <v>465</v>
      </c>
      <c r="H127" s="387"/>
      <c r="I127" s="266">
        <f>ROUND(G127*H127,2)</f>
        <v>0</v>
      </c>
      <c r="J127" s="267">
        <v>0</v>
      </c>
      <c r="K127" s="265">
        <f>G127*J127</f>
        <v>0</v>
      </c>
      <c r="L127" s="267">
        <v>0</v>
      </c>
      <c r="M127" s="265">
        <f>G127*L127</f>
        <v>0</v>
      </c>
      <c r="N127" s="268">
        <v>21</v>
      </c>
      <c r="O127" s="269">
        <v>4</v>
      </c>
      <c r="P127" s="141" t="s">
        <v>119</v>
      </c>
    </row>
    <row r="128" spans="4:19" s="141" customFormat="1" ht="15.75" customHeight="1">
      <c r="D128" s="270"/>
      <c r="E128" s="271" t="s">
        <v>308</v>
      </c>
      <c r="G128" s="272"/>
      <c r="P128" s="270" t="s">
        <v>119</v>
      </c>
      <c r="Q128" s="270" t="s">
        <v>112</v>
      </c>
      <c r="R128" s="270" t="s">
        <v>309</v>
      </c>
      <c r="S128" s="270" t="s">
        <v>111</v>
      </c>
    </row>
    <row r="129" spans="4:19" s="141" customFormat="1" ht="15.75" customHeight="1">
      <c r="D129" s="273"/>
      <c r="E129" s="274" t="s">
        <v>334</v>
      </c>
      <c r="G129" s="275">
        <v>465</v>
      </c>
      <c r="P129" s="273" t="s">
        <v>119</v>
      </c>
      <c r="Q129" s="273" t="s">
        <v>119</v>
      </c>
      <c r="R129" s="273" t="s">
        <v>309</v>
      </c>
      <c r="S129" s="273" t="s">
        <v>112</v>
      </c>
    </row>
    <row r="130" spans="1:16" s="141" customFormat="1" ht="13.5" customHeight="1">
      <c r="A130" s="262" t="s">
        <v>226</v>
      </c>
      <c r="B130" s="262" t="s">
        <v>114</v>
      </c>
      <c r="C130" s="262" t="s">
        <v>213</v>
      </c>
      <c r="D130" s="263" t="s">
        <v>227</v>
      </c>
      <c r="E130" s="264" t="s">
        <v>228</v>
      </c>
      <c r="F130" s="262" t="s">
        <v>126</v>
      </c>
      <c r="G130" s="265">
        <v>465</v>
      </c>
      <c r="H130" s="387"/>
      <c r="I130" s="266">
        <f>ROUND(G130*H130,2)</f>
        <v>0</v>
      </c>
      <c r="J130" s="267">
        <v>0</v>
      </c>
      <c r="K130" s="265">
        <f>G130*J130</f>
        <v>0</v>
      </c>
      <c r="L130" s="267">
        <v>0</v>
      </c>
      <c r="M130" s="265">
        <f>G130*L130</f>
        <v>0</v>
      </c>
      <c r="N130" s="268">
        <v>21</v>
      </c>
      <c r="O130" s="269">
        <v>4</v>
      </c>
      <c r="P130" s="141" t="s">
        <v>119</v>
      </c>
    </row>
    <row r="131" spans="4:19" s="141" customFormat="1" ht="15.75" customHeight="1">
      <c r="D131" s="270"/>
      <c r="E131" s="271" t="s">
        <v>308</v>
      </c>
      <c r="G131" s="272"/>
      <c r="P131" s="270" t="s">
        <v>119</v>
      </c>
      <c r="Q131" s="270" t="s">
        <v>112</v>
      </c>
      <c r="R131" s="270" t="s">
        <v>309</v>
      </c>
      <c r="S131" s="270" t="s">
        <v>111</v>
      </c>
    </row>
    <row r="132" spans="4:19" s="141" customFormat="1" ht="15.75" customHeight="1">
      <c r="D132" s="273"/>
      <c r="E132" s="274" t="s">
        <v>334</v>
      </c>
      <c r="G132" s="275">
        <v>465</v>
      </c>
      <c r="P132" s="273" t="s">
        <v>119</v>
      </c>
      <c r="Q132" s="273" t="s">
        <v>119</v>
      </c>
      <c r="R132" s="273" t="s">
        <v>309</v>
      </c>
      <c r="S132" s="273" t="s">
        <v>112</v>
      </c>
    </row>
    <row r="133" spans="1:16" s="141" customFormat="1" ht="13.5" customHeight="1">
      <c r="A133" s="262" t="s">
        <v>229</v>
      </c>
      <c r="B133" s="262" t="s">
        <v>114</v>
      </c>
      <c r="C133" s="262" t="s">
        <v>213</v>
      </c>
      <c r="D133" s="263" t="s">
        <v>230</v>
      </c>
      <c r="E133" s="264" t="s">
        <v>231</v>
      </c>
      <c r="F133" s="262" t="s">
        <v>126</v>
      </c>
      <c r="G133" s="265">
        <v>465</v>
      </c>
      <c r="H133" s="387"/>
      <c r="I133" s="266">
        <f>ROUND(G133*H133,2)</f>
        <v>0</v>
      </c>
      <c r="J133" s="267">
        <v>0</v>
      </c>
      <c r="K133" s="265">
        <f>G133*J133</f>
        <v>0</v>
      </c>
      <c r="L133" s="267">
        <v>0</v>
      </c>
      <c r="M133" s="265">
        <f>G133*L133</f>
        <v>0</v>
      </c>
      <c r="N133" s="268">
        <v>21</v>
      </c>
      <c r="O133" s="269">
        <v>4</v>
      </c>
      <c r="P133" s="141" t="s">
        <v>119</v>
      </c>
    </row>
    <row r="134" spans="4:19" s="141" customFormat="1" ht="15.75" customHeight="1">
      <c r="D134" s="270"/>
      <c r="E134" s="271" t="s">
        <v>308</v>
      </c>
      <c r="G134" s="272"/>
      <c r="P134" s="270" t="s">
        <v>119</v>
      </c>
      <c r="Q134" s="270" t="s">
        <v>112</v>
      </c>
      <c r="R134" s="270" t="s">
        <v>309</v>
      </c>
      <c r="S134" s="270" t="s">
        <v>111</v>
      </c>
    </row>
    <row r="135" spans="4:19" s="141" customFormat="1" ht="15.75" customHeight="1">
      <c r="D135" s="273"/>
      <c r="E135" s="274" t="s">
        <v>334</v>
      </c>
      <c r="G135" s="275">
        <v>465</v>
      </c>
      <c r="P135" s="273" t="s">
        <v>119</v>
      </c>
      <c r="Q135" s="273" t="s">
        <v>119</v>
      </c>
      <c r="R135" s="273" t="s">
        <v>309</v>
      </c>
      <c r="S135" s="273" t="s">
        <v>112</v>
      </c>
    </row>
    <row r="136" spans="1:16" s="141" customFormat="1" ht="13.5" customHeight="1">
      <c r="A136" s="262" t="s">
        <v>232</v>
      </c>
      <c r="B136" s="262" t="s">
        <v>114</v>
      </c>
      <c r="C136" s="262" t="s">
        <v>188</v>
      </c>
      <c r="D136" s="263" t="s">
        <v>233</v>
      </c>
      <c r="E136" s="264" t="s">
        <v>234</v>
      </c>
      <c r="F136" s="262" t="s">
        <v>235</v>
      </c>
      <c r="G136" s="265">
        <v>30</v>
      </c>
      <c r="H136" s="387"/>
      <c r="I136" s="266">
        <f>ROUND(G136*H136,2)</f>
        <v>0</v>
      </c>
      <c r="J136" s="267">
        <v>0</v>
      </c>
      <c r="K136" s="265">
        <f>G136*J136</f>
        <v>0</v>
      </c>
      <c r="L136" s="267">
        <v>0</v>
      </c>
      <c r="M136" s="265">
        <f>G136*L136</f>
        <v>0</v>
      </c>
      <c r="N136" s="268">
        <v>21</v>
      </c>
      <c r="O136" s="269">
        <v>4</v>
      </c>
      <c r="P136" s="141" t="s">
        <v>119</v>
      </c>
    </row>
    <row r="137" spans="4:19" s="141" customFormat="1" ht="15.75" customHeight="1">
      <c r="D137" s="270"/>
      <c r="E137" s="271" t="s">
        <v>308</v>
      </c>
      <c r="G137" s="272"/>
      <c r="P137" s="270" t="s">
        <v>119</v>
      </c>
      <c r="Q137" s="270" t="s">
        <v>112</v>
      </c>
      <c r="R137" s="270" t="s">
        <v>309</v>
      </c>
      <c r="S137" s="270" t="s">
        <v>111</v>
      </c>
    </row>
    <row r="138" spans="4:19" s="141" customFormat="1" ht="15.75" customHeight="1">
      <c r="D138" s="273"/>
      <c r="E138" s="274" t="s">
        <v>212</v>
      </c>
      <c r="G138" s="275">
        <v>30</v>
      </c>
      <c r="P138" s="273" t="s">
        <v>119</v>
      </c>
      <c r="Q138" s="273" t="s">
        <v>119</v>
      </c>
      <c r="R138" s="273" t="s">
        <v>309</v>
      </c>
      <c r="S138" s="273" t="s">
        <v>112</v>
      </c>
    </row>
    <row r="139" spans="2:16" s="256" customFormat="1" ht="12.75" customHeight="1">
      <c r="B139" s="258" t="s">
        <v>77</v>
      </c>
      <c r="D139" s="259" t="s">
        <v>119</v>
      </c>
      <c r="E139" s="259" t="s">
        <v>236</v>
      </c>
      <c r="I139" s="260">
        <f>SUM(I140:I148)</f>
        <v>0</v>
      </c>
      <c r="K139" s="261">
        <f>SUM(K140:K148)</f>
        <v>14.32716</v>
      </c>
      <c r="M139" s="261">
        <f>SUM(M140:M148)</f>
        <v>0</v>
      </c>
      <c r="P139" s="259" t="s">
        <v>112</v>
      </c>
    </row>
    <row r="140" spans="1:16" s="141" customFormat="1" ht="24" customHeight="1">
      <c r="A140" s="262" t="s">
        <v>237</v>
      </c>
      <c r="B140" s="262" t="s">
        <v>114</v>
      </c>
      <c r="C140" s="262" t="s">
        <v>238</v>
      </c>
      <c r="D140" s="263" t="s">
        <v>239</v>
      </c>
      <c r="E140" s="264" t="s">
        <v>240</v>
      </c>
      <c r="F140" s="262" t="s">
        <v>241</v>
      </c>
      <c r="G140" s="265">
        <v>62</v>
      </c>
      <c r="H140" s="387"/>
      <c r="I140" s="266">
        <f>ROUND(G140*H140,2)</f>
        <v>0</v>
      </c>
      <c r="J140" s="267">
        <v>0.23058</v>
      </c>
      <c r="K140" s="265">
        <f>G140*J140</f>
        <v>14.295960000000001</v>
      </c>
      <c r="L140" s="267">
        <v>0</v>
      </c>
      <c r="M140" s="265">
        <f>G140*L140</f>
        <v>0</v>
      </c>
      <c r="N140" s="268">
        <v>21</v>
      </c>
      <c r="O140" s="269">
        <v>4</v>
      </c>
      <c r="P140" s="141" t="s">
        <v>119</v>
      </c>
    </row>
    <row r="141" spans="4:19" s="141" customFormat="1" ht="15.75" customHeight="1">
      <c r="D141" s="270"/>
      <c r="E141" s="271" t="s">
        <v>308</v>
      </c>
      <c r="G141" s="272"/>
      <c r="P141" s="270" t="s">
        <v>119</v>
      </c>
      <c r="Q141" s="270" t="s">
        <v>112</v>
      </c>
      <c r="R141" s="270" t="s">
        <v>309</v>
      </c>
      <c r="S141" s="270" t="s">
        <v>111</v>
      </c>
    </row>
    <row r="142" spans="4:19" s="141" customFormat="1" ht="15.75" customHeight="1">
      <c r="D142" s="273"/>
      <c r="E142" s="274" t="s">
        <v>335</v>
      </c>
      <c r="G142" s="275">
        <v>62</v>
      </c>
      <c r="P142" s="273" t="s">
        <v>119</v>
      </c>
      <c r="Q142" s="273" t="s">
        <v>119</v>
      </c>
      <c r="R142" s="273" t="s">
        <v>309</v>
      </c>
      <c r="S142" s="273" t="s">
        <v>112</v>
      </c>
    </row>
    <row r="143" spans="1:16" s="141" customFormat="1" ht="13.5" customHeight="1">
      <c r="A143" s="304" t="s">
        <v>242</v>
      </c>
      <c r="B143" s="304" t="s">
        <v>114</v>
      </c>
      <c r="C143" s="304" t="s">
        <v>243</v>
      </c>
      <c r="D143" s="305" t="s">
        <v>244</v>
      </c>
      <c r="E143" s="300" t="s">
        <v>245</v>
      </c>
      <c r="F143" s="304" t="s">
        <v>241</v>
      </c>
      <c r="G143" s="297">
        <v>30</v>
      </c>
      <c r="H143" s="389"/>
      <c r="I143" s="306">
        <f>ROUND(G143*H143,2)</f>
        <v>0</v>
      </c>
      <c r="J143" s="267">
        <v>0.00052</v>
      </c>
      <c r="K143" s="265">
        <f>G143*J143</f>
        <v>0.0156</v>
      </c>
      <c r="L143" s="267">
        <v>0</v>
      </c>
      <c r="M143" s="265">
        <f>G143*L143</f>
        <v>0</v>
      </c>
      <c r="N143" s="268">
        <v>21</v>
      </c>
      <c r="O143" s="269">
        <v>4</v>
      </c>
      <c r="P143" s="141" t="s">
        <v>119</v>
      </c>
    </row>
    <row r="144" spans="4:19" s="141" customFormat="1" ht="15.75" customHeight="1">
      <c r="D144" s="270"/>
      <c r="E144" s="271" t="s">
        <v>308</v>
      </c>
      <c r="G144" s="272"/>
      <c r="P144" s="270" t="s">
        <v>119</v>
      </c>
      <c r="Q144" s="270" t="s">
        <v>112</v>
      </c>
      <c r="R144" s="270" t="s">
        <v>309</v>
      </c>
      <c r="S144" s="270" t="s">
        <v>111</v>
      </c>
    </row>
    <row r="145" spans="4:19" s="141" customFormat="1" ht="16.5" customHeight="1">
      <c r="D145" s="273"/>
      <c r="E145" s="274" t="s">
        <v>336</v>
      </c>
      <c r="G145" s="275">
        <v>30</v>
      </c>
      <c r="P145" s="273" t="s">
        <v>119</v>
      </c>
      <c r="Q145" s="273" t="s">
        <v>119</v>
      </c>
      <c r="R145" s="273" t="s">
        <v>309</v>
      </c>
      <c r="S145" s="273" t="s">
        <v>112</v>
      </c>
    </row>
    <row r="146" spans="1:16" s="141" customFormat="1" ht="13.5" customHeight="1">
      <c r="A146" s="304" t="s">
        <v>246</v>
      </c>
      <c r="B146" s="304" t="s">
        <v>114</v>
      </c>
      <c r="C146" s="304" t="s">
        <v>243</v>
      </c>
      <c r="D146" s="305" t="s">
        <v>247</v>
      </c>
      <c r="E146" s="300" t="s">
        <v>248</v>
      </c>
      <c r="F146" s="304" t="s">
        <v>241</v>
      </c>
      <c r="G146" s="297">
        <v>30</v>
      </c>
      <c r="H146" s="389"/>
      <c r="I146" s="306">
        <f>ROUND(G146*H146,2)</f>
        <v>0</v>
      </c>
      <c r="J146" s="267">
        <v>0.00052</v>
      </c>
      <c r="K146" s="265">
        <f>G146*J146</f>
        <v>0.0156</v>
      </c>
      <c r="L146" s="267">
        <v>0</v>
      </c>
      <c r="M146" s="265">
        <f>G146*L146</f>
        <v>0</v>
      </c>
      <c r="N146" s="268">
        <v>21</v>
      </c>
      <c r="O146" s="269">
        <v>4</v>
      </c>
      <c r="P146" s="141" t="s">
        <v>119</v>
      </c>
    </row>
    <row r="147" spans="4:19" s="141" customFormat="1" ht="15.75" customHeight="1">
      <c r="D147" s="270"/>
      <c r="E147" s="271" t="s">
        <v>308</v>
      </c>
      <c r="G147" s="272"/>
      <c r="P147" s="270" t="s">
        <v>119</v>
      </c>
      <c r="Q147" s="270" t="s">
        <v>112</v>
      </c>
      <c r="R147" s="270" t="s">
        <v>309</v>
      </c>
      <c r="S147" s="270" t="s">
        <v>111</v>
      </c>
    </row>
    <row r="148" spans="4:19" s="141" customFormat="1" ht="15.75" customHeight="1">
      <c r="D148" s="273"/>
      <c r="E148" s="274" t="s">
        <v>336</v>
      </c>
      <c r="G148" s="275">
        <v>30</v>
      </c>
      <c r="P148" s="273" t="s">
        <v>119</v>
      </c>
      <c r="Q148" s="273" t="s">
        <v>119</v>
      </c>
      <c r="R148" s="273" t="s">
        <v>309</v>
      </c>
      <c r="S148" s="273" t="s">
        <v>112</v>
      </c>
    </row>
    <row r="149" spans="2:16" s="256" customFormat="1" ht="12.75" customHeight="1">
      <c r="B149" s="258" t="s">
        <v>77</v>
      </c>
      <c r="D149" s="259" t="s">
        <v>130</v>
      </c>
      <c r="E149" s="259" t="s">
        <v>249</v>
      </c>
      <c r="I149" s="260">
        <f>SUM(I150:I158)</f>
        <v>0</v>
      </c>
      <c r="K149" s="261">
        <f>SUM(K150:K158)</f>
        <v>96.87960000000001</v>
      </c>
      <c r="M149" s="261">
        <f>SUM(M150:M158)</f>
        <v>0</v>
      </c>
      <c r="P149" s="259" t="s">
        <v>112</v>
      </c>
    </row>
    <row r="150" spans="1:16" s="141" customFormat="1" ht="13.5" customHeight="1">
      <c r="A150" s="262" t="s">
        <v>250</v>
      </c>
      <c r="B150" s="262" t="s">
        <v>114</v>
      </c>
      <c r="C150" s="262" t="s">
        <v>123</v>
      </c>
      <c r="D150" s="263" t="s">
        <v>251</v>
      </c>
      <c r="E150" s="264" t="s">
        <v>252</v>
      </c>
      <c r="F150" s="262" t="s">
        <v>126</v>
      </c>
      <c r="G150" s="265">
        <v>120</v>
      </c>
      <c r="H150" s="387"/>
      <c r="I150" s="266">
        <f>ROUND(G150*H150,2)</f>
        <v>0</v>
      </c>
      <c r="J150" s="267">
        <v>0</v>
      </c>
      <c r="K150" s="265">
        <f>G150*J150</f>
        <v>0</v>
      </c>
      <c r="L150" s="267">
        <v>0</v>
      </c>
      <c r="M150" s="265">
        <f>G150*L150</f>
        <v>0</v>
      </c>
      <c r="N150" s="268">
        <v>21</v>
      </c>
      <c r="O150" s="269">
        <v>4</v>
      </c>
      <c r="P150" s="141" t="s">
        <v>119</v>
      </c>
    </row>
    <row r="151" spans="4:19" s="141" customFormat="1" ht="15.75" customHeight="1">
      <c r="D151" s="270"/>
      <c r="E151" s="271" t="s">
        <v>308</v>
      </c>
      <c r="G151" s="272"/>
      <c r="P151" s="270" t="s">
        <v>119</v>
      </c>
      <c r="Q151" s="270" t="s">
        <v>112</v>
      </c>
      <c r="R151" s="270" t="s">
        <v>309</v>
      </c>
      <c r="S151" s="270" t="s">
        <v>111</v>
      </c>
    </row>
    <row r="152" spans="4:19" s="141" customFormat="1" ht="15.75" customHeight="1">
      <c r="D152" s="270"/>
      <c r="E152" s="271" t="s">
        <v>310</v>
      </c>
      <c r="G152" s="272"/>
      <c r="P152" s="270" t="s">
        <v>119</v>
      </c>
      <c r="Q152" s="270" t="s">
        <v>112</v>
      </c>
      <c r="R152" s="270" t="s">
        <v>309</v>
      </c>
      <c r="S152" s="270" t="s">
        <v>111</v>
      </c>
    </row>
    <row r="153" spans="4:19" s="141" customFormat="1" ht="15.75" customHeight="1">
      <c r="D153" s="273"/>
      <c r="E153" s="274" t="s">
        <v>312</v>
      </c>
      <c r="G153" s="275">
        <v>120</v>
      </c>
      <c r="P153" s="273" t="s">
        <v>119</v>
      </c>
      <c r="Q153" s="273" t="s">
        <v>119</v>
      </c>
      <c r="R153" s="273" t="s">
        <v>309</v>
      </c>
      <c r="S153" s="273" t="s">
        <v>112</v>
      </c>
    </row>
    <row r="154" spans="1:16" s="141" customFormat="1" ht="13.5" customHeight="1">
      <c r="A154" s="262" t="s">
        <v>253</v>
      </c>
      <c r="B154" s="262" t="s">
        <v>114</v>
      </c>
      <c r="C154" s="262" t="s">
        <v>123</v>
      </c>
      <c r="D154" s="263" t="s">
        <v>254</v>
      </c>
      <c r="E154" s="264" t="s">
        <v>255</v>
      </c>
      <c r="F154" s="262" t="s">
        <v>126</v>
      </c>
      <c r="G154" s="265">
        <v>60</v>
      </c>
      <c r="H154" s="387"/>
      <c r="I154" s="266">
        <f>ROUND(G154*H154,2)</f>
        <v>0</v>
      </c>
      <c r="J154" s="267">
        <v>0.0835</v>
      </c>
      <c r="K154" s="265">
        <f>G154*J154</f>
        <v>5.010000000000001</v>
      </c>
      <c r="L154" s="267">
        <v>0</v>
      </c>
      <c r="M154" s="265">
        <f>G154*L154</f>
        <v>0</v>
      </c>
      <c r="N154" s="268">
        <v>21</v>
      </c>
      <c r="O154" s="269">
        <v>4</v>
      </c>
      <c r="P154" s="141" t="s">
        <v>119</v>
      </c>
    </row>
    <row r="155" spans="4:19" s="141" customFormat="1" ht="15.75" customHeight="1">
      <c r="D155" s="270"/>
      <c r="E155" s="271" t="s">
        <v>308</v>
      </c>
      <c r="G155" s="272"/>
      <c r="P155" s="270" t="s">
        <v>119</v>
      </c>
      <c r="Q155" s="270" t="s">
        <v>112</v>
      </c>
      <c r="R155" s="270" t="s">
        <v>309</v>
      </c>
      <c r="S155" s="270" t="s">
        <v>111</v>
      </c>
    </row>
    <row r="156" spans="4:19" s="141" customFormat="1" ht="15.75" customHeight="1">
      <c r="D156" s="270"/>
      <c r="E156" s="271" t="s">
        <v>310</v>
      </c>
      <c r="G156" s="272"/>
      <c r="P156" s="270" t="s">
        <v>119</v>
      </c>
      <c r="Q156" s="270" t="s">
        <v>112</v>
      </c>
      <c r="R156" s="270" t="s">
        <v>309</v>
      </c>
      <c r="S156" s="270" t="s">
        <v>111</v>
      </c>
    </row>
    <row r="157" spans="4:19" s="141" customFormat="1" ht="15.75" customHeight="1">
      <c r="D157" s="273"/>
      <c r="E157" s="274" t="s">
        <v>311</v>
      </c>
      <c r="G157" s="275">
        <v>60</v>
      </c>
      <c r="P157" s="273" t="s">
        <v>119</v>
      </c>
      <c r="Q157" s="273" t="s">
        <v>119</v>
      </c>
      <c r="R157" s="273" t="s">
        <v>309</v>
      </c>
      <c r="S157" s="273" t="s">
        <v>112</v>
      </c>
    </row>
    <row r="158" spans="1:16" s="141" customFormat="1" ht="13.5" customHeight="1">
      <c r="A158" s="280" t="s">
        <v>256</v>
      </c>
      <c r="B158" s="280" t="s">
        <v>204</v>
      </c>
      <c r="C158" s="280" t="s">
        <v>205</v>
      </c>
      <c r="D158" s="281" t="s">
        <v>257</v>
      </c>
      <c r="E158" s="282" t="s">
        <v>258</v>
      </c>
      <c r="F158" s="280" t="s">
        <v>126</v>
      </c>
      <c r="G158" s="283">
        <v>60.6</v>
      </c>
      <c r="H158" s="388"/>
      <c r="I158" s="284">
        <f>ROUND(G158*H158,2)</f>
        <v>0</v>
      </c>
      <c r="J158" s="285">
        <v>1.516</v>
      </c>
      <c r="K158" s="283">
        <f>G158*J158</f>
        <v>91.8696</v>
      </c>
      <c r="L158" s="285">
        <v>0</v>
      </c>
      <c r="M158" s="283">
        <f>G158*L158</f>
        <v>0</v>
      </c>
      <c r="N158" s="286">
        <v>21</v>
      </c>
      <c r="O158" s="287">
        <v>8</v>
      </c>
      <c r="P158" s="288" t="s">
        <v>119</v>
      </c>
    </row>
    <row r="159" spans="2:16" s="256" customFormat="1" ht="12.75" customHeight="1">
      <c r="B159" s="258" t="s">
        <v>77</v>
      </c>
      <c r="D159" s="259" t="s">
        <v>142</v>
      </c>
      <c r="E159" s="259" t="s">
        <v>259</v>
      </c>
      <c r="I159" s="260">
        <f>SUM(I160:I164)</f>
        <v>0</v>
      </c>
      <c r="K159" s="261">
        <f>SUM(K160:K164)</f>
        <v>0.53696</v>
      </c>
      <c r="M159" s="261">
        <f>SUM(M160:M164)</f>
        <v>0</v>
      </c>
      <c r="P159" s="259" t="s">
        <v>112</v>
      </c>
    </row>
    <row r="160" spans="1:16" s="141" customFormat="1" ht="13.5" customHeight="1">
      <c r="A160" s="262" t="s">
        <v>260</v>
      </c>
      <c r="B160" s="262" t="s">
        <v>114</v>
      </c>
      <c r="C160" s="262" t="s">
        <v>238</v>
      </c>
      <c r="D160" s="263" t="s">
        <v>261</v>
      </c>
      <c r="E160" s="264" t="s">
        <v>262</v>
      </c>
      <c r="F160" s="262" t="s">
        <v>118</v>
      </c>
      <c r="G160" s="265">
        <v>4</v>
      </c>
      <c r="H160" s="387"/>
      <c r="I160" s="266">
        <f>ROUND(G160*H160,2)</f>
        <v>0</v>
      </c>
      <c r="J160" s="267">
        <v>0.01424</v>
      </c>
      <c r="K160" s="265">
        <f>G160*J160</f>
        <v>0.05696</v>
      </c>
      <c r="L160" s="267">
        <v>0</v>
      </c>
      <c r="M160" s="265">
        <f>G160*L160</f>
        <v>0</v>
      </c>
      <c r="N160" s="268">
        <v>21</v>
      </c>
      <c r="O160" s="269">
        <v>4</v>
      </c>
      <c r="P160" s="141" t="s">
        <v>119</v>
      </c>
    </row>
    <row r="161" spans="4:19" s="141" customFormat="1" ht="15.75" customHeight="1">
      <c r="D161" s="270"/>
      <c r="E161" s="271" t="s">
        <v>308</v>
      </c>
      <c r="G161" s="272"/>
      <c r="P161" s="270" t="s">
        <v>119</v>
      </c>
      <c r="Q161" s="270" t="s">
        <v>112</v>
      </c>
      <c r="R161" s="270" t="s">
        <v>309</v>
      </c>
      <c r="S161" s="270" t="s">
        <v>111</v>
      </c>
    </row>
    <row r="162" spans="4:19" s="141" customFormat="1" ht="15.75" customHeight="1">
      <c r="D162" s="270"/>
      <c r="E162" s="271" t="s">
        <v>332</v>
      </c>
      <c r="G162" s="272"/>
      <c r="P162" s="270" t="s">
        <v>119</v>
      </c>
      <c r="Q162" s="270" t="s">
        <v>112</v>
      </c>
      <c r="R162" s="270" t="s">
        <v>309</v>
      </c>
      <c r="S162" s="270" t="s">
        <v>111</v>
      </c>
    </row>
    <row r="163" spans="4:19" s="141" customFormat="1" ht="15.75" customHeight="1">
      <c r="D163" s="273"/>
      <c r="E163" s="274" t="s">
        <v>127</v>
      </c>
      <c r="G163" s="275">
        <v>4</v>
      </c>
      <c r="P163" s="273" t="s">
        <v>119</v>
      </c>
      <c r="Q163" s="273" t="s">
        <v>119</v>
      </c>
      <c r="R163" s="273" t="s">
        <v>309</v>
      </c>
      <c r="S163" s="273" t="s">
        <v>112</v>
      </c>
    </row>
    <row r="164" spans="1:16" s="141" customFormat="1" ht="13.5" customHeight="1">
      <c r="A164" s="280" t="s">
        <v>263</v>
      </c>
      <c r="B164" s="280" t="s">
        <v>204</v>
      </c>
      <c r="C164" s="280" t="s">
        <v>205</v>
      </c>
      <c r="D164" s="281" t="s">
        <v>264</v>
      </c>
      <c r="E164" s="282" t="s">
        <v>265</v>
      </c>
      <c r="F164" s="280" t="s">
        <v>118</v>
      </c>
      <c r="G164" s="283">
        <v>4</v>
      </c>
      <c r="H164" s="388"/>
      <c r="I164" s="284">
        <f>ROUND(G164*H164,2)</f>
        <v>0</v>
      </c>
      <c r="J164" s="285">
        <v>0.12</v>
      </c>
      <c r="K164" s="283">
        <f>G164*J164</f>
        <v>0.48</v>
      </c>
      <c r="L164" s="285">
        <v>0</v>
      </c>
      <c r="M164" s="283">
        <f>G164*L164</f>
        <v>0</v>
      </c>
      <c r="N164" s="286">
        <v>21</v>
      </c>
      <c r="O164" s="287">
        <v>8</v>
      </c>
      <c r="P164" s="288" t="s">
        <v>119</v>
      </c>
    </row>
    <row r="165" spans="2:16" s="256" customFormat="1" ht="12.75" customHeight="1">
      <c r="B165" s="258" t="s">
        <v>77</v>
      </c>
      <c r="D165" s="259" t="s">
        <v>266</v>
      </c>
      <c r="E165" s="259" t="s">
        <v>267</v>
      </c>
      <c r="I165" s="260">
        <f>SUM(I166:I170)</f>
        <v>0</v>
      </c>
      <c r="K165" s="261">
        <f>SUM(K166:K170)</f>
        <v>0</v>
      </c>
      <c r="M165" s="261">
        <f>SUM(M166:M170)</f>
        <v>0</v>
      </c>
      <c r="P165" s="259" t="s">
        <v>112</v>
      </c>
    </row>
    <row r="166" spans="1:16" s="141" customFormat="1" ht="13.5" customHeight="1">
      <c r="A166" s="262" t="s">
        <v>268</v>
      </c>
      <c r="B166" s="262" t="s">
        <v>114</v>
      </c>
      <c r="C166" s="262" t="s">
        <v>123</v>
      </c>
      <c r="D166" s="263" t="s">
        <v>269</v>
      </c>
      <c r="E166" s="264" t="s">
        <v>270</v>
      </c>
      <c r="F166" s="262" t="s">
        <v>208</v>
      </c>
      <c r="G166" s="265">
        <v>53.52</v>
      </c>
      <c r="H166" s="387"/>
      <c r="I166" s="266">
        <f>ROUND(G166*H166,2)</f>
        <v>0</v>
      </c>
      <c r="J166" s="267">
        <v>0</v>
      </c>
      <c r="K166" s="265">
        <f>G166*J166</f>
        <v>0</v>
      </c>
      <c r="L166" s="267">
        <v>0</v>
      </c>
      <c r="M166" s="265">
        <f>G166*L166</f>
        <v>0</v>
      </c>
      <c r="N166" s="268">
        <v>21</v>
      </c>
      <c r="O166" s="269">
        <v>4</v>
      </c>
      <c r="P166" s="141" t="s">
        <v>119</v>
      </c>
    </row>
    <row r="167" spans="1:16" s="141" customFormat="1" ht="13.5" customHeight="1">
      <c r="A167" s="262" t="s">
        <v>271</v>
      </c>
      <c r="B167" s="262" t="s">
        <v>114</v>
      </c>
      <c r="C167" s="262" t="s">
        <v>123</v>
      </c>
      <c r="D167" s="263" t="s">
        <v>272</v>
      </c>
      <c r="E167" s="264" t="s">
        <v>273</v>
      </c>
      <c r="F167" s="262" t="s">
        <v>208</v>
      </c>
      <c r="G167" s="265">
        <v>481.68</v>
      </c>
      <c r="H167" s="387"/>
      <c r="I167" s="266">
        <f>ROUND(G167*H167,2)</f>
        <v>0</v>
      </c>
      <c r="J167" s="267">
        <v>0</v>
      </c>
      <c r="K167" s="265">
        <f>G167*J167</f>
        <v>0</v>
      </c>
      <c r="L167" s="267">
        <v>0</v>
      </c>
      <c r="M167" s="265">
        <f>G167*L167</f>
        <v>0</v>
      </c>
      <c r="N167" s="268">
        <v>21</v>
      </c>
      <c r="O167" s="269">
        <v>4</v>
      </c>
      <c r="P167" s="141" t="s">
        <v>119</v>
      </c>
    </row>
    <row r="168" spans="1:16" s="141" customFormat="1" ht="13.5" customHeight="1">
      <c r="A168" s="262" t="s">
        <v>274</v>
      </c>
      <c r="B168" s="262" t="s">
        <v>114</v>
      </c>
      <c r="C168" s="262" t="s">
        <v>123</v>
      </c>
      <c r="D168" s="263" t="s">
        <v>275</v>
      </c>
      <c r="E168" s="264" t="s">
        <v>276</v>
      </c>
      <c r="F168" s="262" t="s">
        <v>208</v>
      </c>
      <c r="G168" s="265">
        <v>53.52</v>
      </c>
      <c r="H168" s="387"/>
      <c r="I168" s="266">
        <f>ROUND(G168*H168,2)</f>
        <v>0</v>
      </c>
      <c r="J168" s="267">
        <v>0</v>
      </c>
      <c r="K168" s="265">
        <f>G168*J168</f>
        <v>0</v>
      </c>
      <c r="L168" s="267">
        <v>0</v>
      </c>
      <c r="M168" s="265">
        <f>G168*L168</f>
        <v>0</v>
      </c>
      <c r="N168" s="268">
        <v>21</v>
      </c>
      <c r="O168" s="269">
        <v>4</v>
      </c>
      <c r="P168" s="141" t="s">
        <v>119</v>
      </c>
    </row>
    <row r="169" spans="1:16" s="141" customFormat="1" ht="13.5" customHeight="1">
      <c r="A169" s="262" t="s">
        <v>277</v>
      </c>
      <c r="B169" s="262" t="s">
        <v>114</v>
      </c>
      <c r="C169" s="262" t="s">
        <v>123</v>
      </c>
      <c r="D169" s="263" t="s">
        <v>278</v>
      </c>
      <c r="E169" s="264" t="s">
        <v>279</v>
      </c>
      <c r="F169" s="262" t="s">
        <v>208</v>
      </c>
      <c r="G169" s="265">
        <v>53.52</v>
      </c>
      <c r="H169" s="387"/>
      <c r="I169" s="266">
        <f>ROUND(G169*H169,2)</f>
        <v>0</v>
      </c>
      <c r="J169" s="267">
        <v>0</v>
      </c>
      <c r="K169" s="265">
        <f>G169*J169</f>
        <v>0</v>
      </c>
      <c r="L169" s="267">
        <v>0</v>
      </c>
      <c r="M169" s="265">
        <f>G169*L169</f>
        <v>0</v>
      </c>
      <c r="N169" s="268">
        <v>21</v>
      </c>
      <c r="O169" s="269">
        <v>4</v>
      </c>
      <c r="P169" s="141" t="s">
        <v>119</v>
      </c>
    </row>
    <row r="170" spans="1:16" s="141" customFormat="1" ht="13.5" customHeight="1">
      <c r="A170" s="262" t="s">
        <v>280</v>
      </c>
      <c r="B170" s="262" t="s">
        <v>114</v>
      </c>
      <c r="C170" s="262" t="s">
        <v>281</v>
      </c>
      <c r="D170" s="263" t="s">
        <v>282</v>
      </c>
      <c r="E170" s="264" t="s">
        <v>283</v>
      </c>
      <c r="F170" s="262" t="s">
        <v>208</v>
      </c>
      <c r="G170" s="265">
        <v>146.342</v>
      </c>
      <c r="H170" s="387"/>
      <c r="I170" s="266">
        <f>ROUND(G170*H170,2)</f>
        <v>0</v>
      </c>
      <c r="J170" s="267">
        <v>0</v>
      </c>
      <c r="K170" s="265">
        <f>G170*J170</f>
        <v>0</v>
      </c>
      <c r="L170" s="267">
        <v>0</v>
      </c>
      <c r="M170" s="265">
        <f>G170*L170</f>
        <v>0</v>
      </c>
      <c r="N170" s="268">
        <v>21</v>
      </c>
      <c r="O170" s="269">
        <v>4</v>
      </c>
      <c r="P170" s="141" t="s">
        <v>119</v>
      </c>
    </row>
    <row r="171" spans="2:16" s="256" customFormat="1" ht="12.75" customHeight="1">
      <c r="B171" s="289" t="s">
        <v>77</v>
      </c>
      <c r="D171" s="257" t="s">
        <v>66</v>
      </c>
      <c r="E171" s="257" t="s">
        <v>284</v>
      </c>
      <c r="I171" s="290">
        <f>I172</f>
        <v>0</v>
      </c>
      <c r="K171" s="291">
        <f>K172</f>
        <v>0.0462</v>
      </c>
      <c r="M171" s="291">
        <f>M172</f>
        <v>0.24</v>
      </c>
      <c r="P171" s="257" t="s">
        <v>111</v>
      </c>
    </row>
    <row r="172" spans="2:16" s="256" customFormat="1" ht="12.75" customHeight="1">
      <c r="B172" s="258" t="s">
        <v>77</v>
      </c>
      <c r="D172" s="259" t="s">
        <v>285</v>
      </c>
      <c r="E172" s="259" t="s">
        <v>286</v>
      </c>
      <c r="I172" s="260">
        <f>SUM(I173:I181)</f>
        <v>0</v>
      </c>
      <c r="K172" s="261">
        <f>SUM(K173:K181)</f>
        <v>0.0462</v>
      </c>
      <c r="M172" s="261">
        <f>SUM(M173:M181)</f>
        <v>0.24</v>
      </c>
      <c r="P172" s="259" t="s">
        <v>112</v>
      </c>
    </row>
    <row r="173" spans="1:16" s="141" customFormat="1" ht="13.5" customHeight="1">
      <c r="A173" s="262" t="s">
        <v>287</v>
      </c>
      <c r="B173" s="262" t="s">
        <v>114</v>
      </c>
      <c r="C173" s="262" t="s">
        <v>285</v>
      </c>
      <c r="D173" s="263" t="s">
        <v>288</v>
      </c>
      <c r="E173" s="264" t="s">
        <v>289</v>
      </c>
      <c r="F173" s="262" t="s">
        <v>126</v>
      </c>
      <c r="G173" s="265">
        <v>60</v>
      </c>
      <c r="H173" s="387"/>
      <c r="I173" s="266">
        <f>ROUND(G173*H173,2)</f>
        <v>0</v>
      </c>
      <c r="J173" s="267">
        <v>0</v>
      </c>
      <c r="K173" s="265">
        <f>G173*J173</f>
        <v>0</v>
      </c>
      <c r="L173" s="267">
        <v>0.004</v>
      </c>
      <c r="M173" s="265">
        <f>G173*L173</f>
        <v>0.24</v>
      </c>
      <c r="N173" s="268">
        <v>21</v>
      </c>
      <c r="O173" s="269">
        <v>16</v>
      </c>
      <c r="P173" s="141" t="s">
        <v>119</v>
      </c>
    </row>
    <row r="174" spans="4:19" s="141" customFormat="1" ht="15.75" customHeight="1">
      <c r="D174" s="270"/>
      <c r="E174" s="271" t="s">
        <v>308</v>
      </c>
      <c r="G174" s="272"/>
      <c r="P174" s="270" t="s">
        <v>119</v>
      </c>
      <c r="Q174" s="270" t="s">
        <v>112</v>
      </c>
      <c r="R174" s="270" t="s">
        <v>309</v>
      </c>
      <c r="S174" s="270" t="s">
        <v>111</v>
      </c>
    </row>
    <row r="175" spans="4:19" s="141" customFormat="1" ht="15.75" customHeight="1">
      <c r="D175" s="270"/>
      <c r="E175" s="271" t="s">
        <v>310</v>
      </c>
      <c r="G175" s="272"/>
      <c r="P175" s="270" t="s">
        <v>119</v>
      </c>
      <c r="Q175" s="270" t="s">
        <v>112</v>
      </c>
      <c r="R175" s="270" t="s">
        <v>309</v>
      </c>
      <c r="S175" s="270" t="s">
        <v>111</v>
      </c>
    </row>
    <row r="176" spans="4:19" s="141" customFormat="1" ht="15.75" customHeight="1">
      <c r="D176" s="273"/>
      <c r="E176" s="274" t="s">
        <v>311</v>
      </c>
      <c r="G176" s="275">
        <v>60</v>
      </c>
      <c r="P176" s="273" t="s">
        <v>119</v>
      </c>
      <c r="Q176" s="273" t="s">
        <v>119</v>
      </c>
      <c r="R176" s="273" t="s">
        <v>309</v>
      </c>
      <c r="S176" s="273" t="s">
        <v>112</v>
      </c>
    </row>
    <row r="177" spans="1:16" s="141" customFormat="1" ht="13.5" customHeight="1">
      <c r="A177" s="262" t="s">
        <v>290</v>
      </c>
      <c r="B177" s="262" t="s">
        <v>114</v>
      </c>
      <c r="C177" s="262" t="s">
        <v>285</v>
      </c>
      <c r="D177" s="263" t="s">
        <v>291</v>
      </c>
      <c r="E177" s="264" t="s">
        <v>292</v>
      </c>
      <c r="F177" s="262" t="s">
        <v>126</v>
      </c>
      <c r="G177" s="265">
        <v>60</v>
      </c>
      <c r="H177" s="387"/>
      <c r="I177" s="266">
        <f>ROUND(G177*H177,2)</f>
        <v>0</v>
      </c>
      <c r="J177" s="267">
        <v>0.00077</v>
      </c>
      <c r="K177" s="265">
        <f>G177*J177</f>
        <v>0.0462</v>
      </c>
      <c r="L177" s="267">
        <v>0</v>
      </c>
      <c r="M177" s="265">
        <f>G177*L177</f>
        <v>0</v>
      </c>
      <c r="N177" s="268">
        <v>21</v>
      </c>
      <c r="O177" s="269">
        <v>16</v>
      </c>
      <c r="P177" s="141" t="s">
        <v>119</v>
      </c>
    </row>
    <row r="178" spans="4:19" s="141" customFormat="1" ht="15.75" customHeight="1">
      <c r="D178" s="270"/>
      <c r="E178" s="271" t="s">
        <v>308</v>
      </c>
      <c r="G178" s="272"/>
      <c r="P178" s="270" t="s">
        <v>119</v>
      </c>
      <c r="Q178" s="270" t="s">
        <v>112</v>
      </c>
      <c r="R178" s="270" t="s">
        <v>309</v>
      </c>
      <c r="S178" s="270" t="s">
        <v>111</v>
      </c>
    </row>
    <row r="179" spans="4:19" s="141" customFormat="1" ht="15.75" customHeight="1">
      <c r="D179" s="270"/>
      <c r="E179" s="271" t="s">
        <v>310</v>
      </c>
      <c r="G179" s="272"/>
      <c r="P179" s="270" t="s">
        <v>119</v>
      </c>
      <c r="Q179" s="270" t="s">
        <v>112</v>
      </c>
      <c r="R179" s="270" t="s">
        <v>309</v>
      </c>
      <c r="S179" s="270" t="s">
        <v>111</v>
      </c>
    </row>
    <row r="180" spans="4:19" s="141" customFormat="1" ht="15.75" customHeight="1">
      <c r="D180" s="273"/>
      <c r="E180" s="274" t="s">
        <v>311</v>
      </c>
      <c r="G180" s="275">
        <v>60</v>
      </c>
      <c r="P180" s="273" t="s">
        <v>119</v>
      </c>
      <c r="Q180" s="273" t="s">
        <v>119</v>
      </c>
      <c r="R180" s="273" t="s">
        <v>309</v>
      </c>
      <c r="S180" s="273" t="s">
        <v>112</v>
      </c>
    </row>
    <row r="181" spans="1:16" s="141" customFormat="1" ht="24" customHeight="1">
      <c r="A181" s="262" t="s">
        <v>293</v>
      </c>
      <c r="B181" s="262" t="s">
        <v>114</v>
      </c>
      <c r="C181" s="262" t="s">
        <v>285</v>
      </c>
      <c r="D181" s="263" t="s">
        <v>294</v>
      </c>
      <c r="E181" s="264" t="s">
        <v>295</v>
      </c>
      <c r="F181" s="262" t="s">
        <v>62</v>
      </c>
      <c r="G181" s="265">
        <v>85.728</v>
      </c>
      <c r="H181" s="387"/>
      <c r="I181" s="266">
        <f>ROUND(G181*H181,2)</f>
        <v>0</v>
      </c>
      <c r="J181" s="267">
        <v>0</v>
      </c>
      <c r="K181" s="265">
        <f>G181*J181</f>
        <v>0</v>
      </c>
      <c r="L181" s="267">
        <v>0</v>
      </c>
      <c r="M181" s="265">
        <f>G181*L181</f>
        <v>0</v>
      </c>
      <c r="N181" s="268">
        <v>21</v>
      </c>
      <c r="O181" s="269">
        <v>16</v>
      </c>
      <c r="P181" s="141" t="s">
        <v>119</v>
      </c>
    </row>
    <row r="182" spans="5:13" s="292" customFormat="1" ht="12.75" customHeight="1">
      <c r="E182" s="293" t="s">
        <v>18</v>
      </c>
      <c r="I182" s="294">
        <f>I14+I171</f>
        <v>0</v>
      </c>
      <c r="K182" s="295">
        <f>K14+K171</f>
        <v>146.18528</v>
      </c>
      <c r="M182" s="295">
        <f>M14+M171</f>
        <v>53.519999999999996</v>
      </c>
    </row>
  </sheetData>
  <sheetProtection password="EF31" sheet="1" objects="1" scenarios="1" selectLockedCells="1"/>
  <printOptions gridLines="1" horizontalCentered="1"/>
  <pageMargins left="0.7874015748031497" right="0.3937007874015748" top="0.7874015748031497" bottom="0.7874015748031497" header="0" footer="0"/>
  <pageSetup fitToHeight="3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zoomScale="130" zoomScaleSheetLayoutView="130" workbookViewId="0" topLeftCell="A37">
      <selection activeCell="E27" sqref="E27"/>
    </sheetView>
  </sheetViews>
  <sheetFormatPr defaultColWidth="9.33203125" defaultRowHeight="12.75" customHeight="1"/>
  <cols>
    <col min="1" max="1" width="2.83203125" style="132" customWidth="1"/>
    <col min="2" max="2" width="2.16015625" style="132" customWidth="1"/>
    <col min="3" max="3" width="3.16015625" style="132" customWidth="1"/>
    <col min="4" max="4" width="8" style="132" customWidth="1"/>
    <col min="5" max="5" width="15.83203125" style="132" customWidth="1"/>
    <col min="6" max="6" width="0.65625" style="132" customWidth="1"/>
    <col min="7" max="7" width="3" style="132" customWidth="1"/>
    <col min="8" max="8" width="3.16015625" style="132" customWidth="1"/>
    <col min="9" max="9" width="11.33203125" style="132" customWidth="1"/>
    <col min="10" max="10" width="15.83203125" style="132" customWidth="1"/>
    <col min="11" max="11" width="0.82421875" style="132" customWidth="1"/>
    <col min="12" max="12" width="2.83203125" style="132" customWidth="1"/>
    <col min="13" max="13" width="3.33203125" style="132" customWidth="1"/>
    <col min="14" max="14" width="2.33203125" style="132" customWidth="1"/>
    <col min="15" max="15" width="14.83203125" style="132" customWidth="1"/>
    <col min="16" max="16" width="3.33203125" style="132" customWidth="1"/>
    <col min="17" max="17" width="2.33203125" style="132" customWidth="1"/>
    <col min="18" max="18" width="15.83203125" style="132" customWidth="1"/>
    <col min="19" max="19" width="0.65625" style="132" customWidth="1"/>
    <col min="20" max="16384" width="9.33203125" style="132" customWidth="1"/>
  </cols>
  <sheetData>
    <row r="1" spans="1:19" ht="12" customHeight="1" hidden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23.25" customHeight="1">
      <c r="A2" s="129"/>
      <c r="B2" s="130"/>
      <c r="C2" s="130"/>
      <c r="D2" s="130"/>
      <c r="E2" s="130"/>
      <c r="F2" s="130"/>
      <c r="G2" s="133" t="s">
        <v>22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1:19" ht="12" customHeight="1" hidden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</row>
    <row r="4" spans="1:19" ht="8.2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19" ht="24" customHeight="1">
      <c r="A5" s="140"/>
      <c r="B5" s="141" t="s">
        <v>23</v>
      </c>
      <c r="C5" s="141"/>
      <c r="D5" s="141"/>
      <c r="E5" s="446" t="s">
        <v>466</v>
      </c>
      <c r="F5" s="447"/>
      <c r="G5" s="447"/>
      <c r="H5" s="447"/>
      <c r="I5" s="447"/>
      <c r="J5" s="448"/>
      <c r="K5" s="141"/>
      <c r="L5" s="141"/>
      <c r="M5" s="141"/>
      <c r="N5" s="141"/>
      <c r="O5" s="141" t="s">
        <v>24</v>
      </c>
      <c r="P5" s="142" t="s">
        <v>25</v>
      </c>
      <c r="Q5" s="143"/>
      <c r="R5" s="144"/>
      <c r="S5" s="145"/>
    </row>
    <row r="6" spans="1:19" ht="17.25" customHeight="1" hidden="1">
      <c r="A6" s="140"/>
      <c r="B6" s="141" t="s">
        <v>26</v>
      </c>
      <c r="C6" s="141"/>
      <c r="D6" s="141"/>
      <c r="E6" s="414" t="s">
        <v>15</v>
      </c>
      <c r="F6" s="141"/>
      <c r="G6" s="141"/>
      <c r="H6" s="141"/>
      <c r="I6" s="141"/>
      <c r="J6" s="146"/>
      <c r="K6" s="141"/>
      <c r="L6" s="141"/>
      <c r="M6" s="141"/>
      <c r="N6" s="141"/>
      <c r="O6" s="141"/>
      <c r="P6" s="147"/>
      <c r="Q6" s="148"/>
      <c r="R6" s="146"/>
      <c r="S6" s="145"/>
    </row>
    <row r="7" spans="1:19" ht="24" customHeight="1">
      <c r="A7" s="140"/>
      <c r="B7" s="141" t="s">
        <v>27</v>
      </c>
      <c r="C7" s="141"/>
      <c r="D7" s="141"/>
      <c r="E7" s="449" t="s">
        <v>296</v>
      </c>
      <c r="F7" s="450"/>
      <c r="G7" s="450"/>
      <c r="H7" s="450"/>
      <c r="I7" s="450"/>
      <c r="J7" s="451"/>
      <c r="K7" s="141"/>
      <c r="L7" s="141"/>
      <c r="M7" s="141"/>
      <c r="N7" s="141"/>
      <c r="O7" s="256" t="s">
        <v>19</v>
      </c>
      <c r="P7" s="149"/>
      <c r="Q7" s="148"/>
      <c r="R7" s="314" t="str">
        <f>Rekapitulace!H17</f>
        <v>45112000-5</v>
      </c>
      <c r="S7" s="145"/>
    </row>
    <row r="8" spans="1:19" ht="17.25" customHeight="1" hidden="1">
      <c r="A8" s="140"/>
      <c r="B8" s="141" t="s">
        <v>29</v>
      </c>
      <c r="C8" s="141"/>
      <c r="D8" s="141"/>
      <c r="E8" s="414" t="s">
        <v>17</v>
      </c>
      <c r="F8" s="141"/>
      <c r="G8" s="141"/>
      <c r="H8" s="141"/>
      <c r="I8" s="141"/>
      <c r="J8" s="146"/>
      <c r="K8" s="141"/>
      <c r="L8" s="141"/>
      <c r="M8" s="141"/>
      <c r="N8" s="141"/>
      <c r="O8" s="141"/>
      <c r="P8" s="147"/>
      <c r="Q8" s="148"/>
      <c r="R8" s="146"/>
      <c r="S8" s="145"/>
    </row>
    <row r="9" spans="1:19" ht="24" customHeight="1">
      <c r="A9" s="140"/>
      <c r="B9" s="141" t="s">
        <v>30</v>
      </c>
      <c r="C9" s="141"/>
      <c r="D9" s="141"/>
      <c r="E9" s="452" t="str">
        <f>'Stavební část Krycí list'!E9:J9</f>
        <v>Stavební část</v>
      </c>
      <c r="F9" s="453"/>
      <c r="G9" s="453"/>
      <c r="H9" s="453"/>
      <c r="I9" s="453"/>
      <c r="J9" s="454"/>
      <c r="K9" s="141"/>
      <c r="L9" s="141"/>
      <c r="M9" s="141"/>
      <c r="N9" s="141"/>
      <c r="O9" s="141" t="s">
        <v>31</v>
      </c>
      <c r="P9" s="455"/>
      <c r="Q9" s="453"/>
      <c r="R9" s="454"/>
      <c r="S9" s="145"/>
    </row>
    <row r="10" spans="1:19" ht="17.25" customHeight="1" hidden="1">
      <c r="A10" s="140"/>
      <c r="B10" s="141" t="s">
        <v>32</v>
      </c>
      <c r="C10" s="141"/>
      <c r="D10" s="141"/>
      <c r="E10" s="150" t="s">
        <v>25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8"/>
      <c r="Q10" s="148"/>
      <c r="R10" s="141"/>
      <c r="S10" s="145"/>
    </row>
    <row r="11" spans="1:19" ht="17.25" customHeight="1" hidden="1">
      <c r="A11" s="140"/>
      <c r="B11" s="141" t="s">
        <v>33</v>
      </c>
      <c r="C11" s="141"/>
      <c r="D11" s="141"/>
      <c r="E11" s="150" t="s">
        <v>25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8"/>
      <c r="Q11" s="148"/>
      <c r="R11" s="141"/>
      <c r="S11" s="145"/>
    </row>
    <row r="12" spans="1:19" ht="17.25" customHeight="1" hidden="1">
      <c r="A12" s="140"/>
      <c r="B12" s="141" t="s">
        <v>34</v>
      </c>
      <c r="C12" s="141"/>
      <c r="D12" s="141"/>
      <c r="E12" s="150" t="s">
        <v>25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8"/>
      <c r="Q12" s="148"/>
      <c r="R12" s="141"/>
      <c r="S12" s="145"/>
    </row>
    <row r="13" spans="1:19" ht="17.25" customHeight="1" hidden="1">
      <c r="A13" s="140"/>
      <c r="B13" s="141"/>
      <c r="C13" s="141"/>
      <c r="D13" s="141"/>
      <c r="E13" s="150" t="s">
        <v>25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8"/>
      <c r="Q13" s="148"/>
      <c r="R13" s="141"/>
      <c r="S13" s="145"/>
    </row>
    <row r="14" spans="1:19" ht="17.25" customHeight="1" hidden="1">
      <c r="A14" s="140"/>
      <c r="B14" s="141"/>
      <c r="C14" s="141"/>
      <c r="D14" s="141"/>
      <c r="E14" s="150" t="s">
        <v>25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8"/>
      <c r="Q14" s="148"/>
      <c r="R14" s="141"/>
      <c r="S14" s="145"/>
    </row>
    <row r="15" spans="1:19" ht="17.25" customHeight="1" hidden="1">
      <c r="A15" s="140"/>
      <c r="B15" s="141"/>
      <c r="C15" s="141"/>
      <c r="D15" s="141"/>
      <c r="E15" s="150" t="s">
        <v>25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8"/>
      <c r="Q15" s="148"/>
      <c r="R15" s="141"/>
      <c r="S15" s="145"/>
    </row>
    <row r="16" spans="1:19" ht="17.25" customHeight="1" hidden="1">
      <c r="A16" s="140"/>
      <c r="B16" s="141"/>
      <c r="C16" s="141"/>
      <c r="D16" s="141"/>
      <c r="E16" s="150" t="s">
        <v>25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8"/>
      <c r="Q16" s="148"/>
      <c r="R16" s="141"/>
      <c r="S16" s="145"/>
    </row>
    <row r="17" spans="1:19" ht="17.25" customHeight="1" hidden="1">
      <c r="A17" s="140"/>
      <c r="B17" s="141"/>
      <c r="C17" s="141"/>
      <c r="D17" s="141"/>
      <c r="E17" s="150" t="s">
        <v>25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8"/>
      <c r="Q17" s="148"/>
      <c r="R17" s="141"/>
      <c r="S17" s="145"/>
    </row>
    <row r="18" spans="1:19" ht="17.25" customHeight="1" hidden="1">
      <c r="A18" s="140"/>
      <c r="B18" s="141"/>
      <c r="C18" s="141"/>
      <c r="D18" s="141"/>
      <c r="E18" s="150" t="s">
        <v>25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8"/>
      <c r="Q18" s="148"/>
      <c r="R18" s="141"/>
      <c r="S18" s="145"/>
    </row>
    <row r="19" spans="1:19" ht="17.25" customHeight="1" hidden="1">
      <c r="A19" s="140"/>
      <c r="B19" s="141"/>
      <c r="C19" s="141"/>
      <c r="D19" s="141"/>
      <c r="E19" s="150" t="s">
        <v>25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8"/>
      <c r="Q19" s="148"/>
      <c r="R19" s="141"/>
      <c r="S19" s="145"/>
    </row>
    <row r="20" spans="1:19" ht="17.25" customHeight="1" hidden="1">
      <c r="A20" s="140"/>
      <c r="B20" s="141"/>
      <c r="C20" s="141"/>
      <c r="D20" s="141"/>
      <c r="E20" s="150" t="s">
        <v>25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8"/>
      <c r="Q20" s="148"/>
      <c r="R20" s="141"/>
      <c r="S20" s="145"/>
    </row>
    <row r="21" spans="1:19" ht="17.25" customHeight="1" hidden="1">
      <c r="A21" s="140"/>
      <c r="B21" s="141"/>
      <c r="C21" s="141"/>
      <c r="D21" s="141"/>
      <c r="E21" s="150" t="s">
        <v>25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8"/>
      <c r="Q21" s="148"/>
      <c r="R21" s="141"/>
      <c r="S21" s="145"/>
    </row>
    <row r="22" spans="1:19" ht="17.25" customHeight="1" hidden="1">
      <c r="A22" s="140"/>
      <c r="B22" s="141"/>
      <c r="C22" s="141"/>
      <c r="D22" s="141"/>
      <c r="E22" s="150" t="s">
        <v>25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8"/>
      <c r="Q22" s="148"/>
      <c r="R22" s="141"/>
      <c r="S22" s="145"/>
    </row>
    <row r="23" spans="1:19" ht="17.25" customHeight="1" hidden="1">
      <c r="A23" s="140"/>
      <c r="B23" s="141"/>
      <c r="C23" s="141"/>
      <c r="D23" s="141"/>
      <c r="E23" s="150" t="s">
        <v>25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8"/>
      <c r="Q23" s="148"/>
      <c r="R23" s="141"/>
      <c r="S23" s="145"/>
    </row>
    <row r="24" spans="1:19" ht="17.25" customHeight="1" hidden="1">
      <c r="A24" s="140"/>
      <c r="B24" s="141"/>
      <c r="C24" s="141"/>
      <c r="D24" s="141"/>
      <c r="E24" s="151" t="s">
        <v>25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8"/>
      <c r="Q24" s="148"/>
      <c r="R24" s="141"/>
      <c r="S24" s="145"/>
    </row>
    <row r="25" spans="1:19" ht="17.2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 t="s">
        <v>35</v>
      </c>
      <c r="P25" s="141" t="s">
        <v>36</v>
      </c>
      <c r="Q25" s="141"/>
      <c r="R25" s="141"/>
      <c r="S25" s="145"/>
    </row>
    <row r="26" spans="1:19" ht="17.25" customHeight="1">
      <c r="A26" s="140"/>
      <c r="B26" s="141" t="s">
        <v>37</v>
      </c>
      <c r="C26" s="141"/>
      <c r="D26" s="141"/>
      <c r="E26" s="142" t="str">
        <f>'Stavební část Krycí list'!E26</f>
        <v>Ministerstvo financí ČR</v>
      </c>
      <c r="F26" s="152"/>
      <c r="G26" s="152"/>
      <c r="H26" s="152"/>
      <c r="I26" s="152"/>
      <c r="J26" s="144"/>
      <c r="K26" s="141"/>
      <c r="L26" s="141"/>
      <c r="M26" s="141"/>
      <c r="N26" s="141"/>
      <c r="O26" s="377"/>
      <c r="P26" s="378"/>
      <c r="Q26" s="379"/>
      <c r="R26" s="380"/>
      <c r="S26" s="145"/>
    </row>
    <row r="27" spans="1:19" ht="17.25" customHeight="1">
      <c r="A27" s="140"/>
      <c r="B27" s="141" t="s">
        <v>38</v>
      </c>
      <c r="C27" s="141"/>
      <c r="D27" s="141"/>
      <c r="E27" s="381"/>
      <c r="F27" s="376"/>
      <c r="G27" s="376"/>
      <c r="H27" s="376"/>
      <c r="I27" s="376"/>
      <c r="J27" s="382"/>
      <c r="K27" s="141"/>
      <c r="L27" s="141"/>
      <c r="M27" s="141"/>
      <c r="N27" s="141"/>
      <c r="O27" s="377"/>
      <c r="P27" s="378"/>
      <c r="Q27" s="379"/>
      <c r="R27" s="380"/>
      <c r="S27" s="145"/>
    </row>
    <row r="28" spans="1:19" ht="17.25" customHeight="1">
      <c r="A28" s="140"/>
      <c r="B28" s="141" t="s">
        <v>39</v>
      </c>
      <c r="C28" s="141"/>
      <c r="D28" s="141"/>
      <c r="E28" s="381" t="s">
        <v>25</v>
      </c>
      <c r="F28" s="376"/>
      <c r="G28" s="376"/>
      <c r="H28" s="376"/>
      <c r="I28" s="376"/>
      <c r="J28" s="382"/>
      <c r="K28" s="141"/>
      <c r="L28" s="141"/>
      <c r="M28" s="141"/>
      <c r="N28" s="141"/>
      <c r="O28" s="377"/>
      <c r="P28" s="378"/>
      <c r="Q28" s="379"/>
      <c r="R28" s="380"/>
      <c r="S28" s="145"/>
    </row>
    <row r="29" spans="1:19" ht="17.25" customHeight="1">
      <c r="A29" s="140"/>
      <c r="B29" s="141"/>
      <c r="C29" s="141"/>
      <c r="D29" s="141"/>
      <c r="E29" s="415"/>
      <c r="F29" s="155"/>
      <c r="G29" s="155"/>
      <c r="H29" s="155"/>
      <c r="I29" s="155"/>
      <c r="J29" s="156"/>
      <c r="K29" s="141"/>
      <c r="L29" s="141"/>
      <c r="M29" s="141"/>
      <c r="N29" s="141"/>
      <c r="O29" s="148"/>
      <c r="P29" s="148"/>
      <c r="Q29" s="148"/>
      <c r="R29" s="141"/>
      <c r="S29" s="145"/>
    </row>
    <row r="30" spans="1:19" ht="17.25" customHeight="1">
      <c r="A30" s="140"/>
      <c r="B30" s="141"/>
      <c r="C30" s="141"/>
      <c r="D30" s="141"/>
      <c r="E30" s="427" t="s">
        <v>40</v>
      </c>
      <c r="F30" s="141"/>
      <c r="G30" s="141" t="s">
        <v>41</v>
      </c>
      <c r="H30" s="141"/>
      <c r="I30" s="141"/>
      <c r="J30" s="141"/>
      <c r="K30" s="141"/>
      <c r="L30" s="141"/>
      <c r="M30" s="141"/>
      <c r="N30" s="141"/>
      <c r="O30" s="427" t="s">
        <v>42</v>
      </c>
      <c r="P30" s="148"/>
      <c r="Q30" s="148"/>
      <c r="R30" s="428"/>
      <c r="S30" s="145"/>
    </row>
    <row r="31" spans="1:19" ht="17.25" customHeight="1">
      <c r="A31" s="140"/>
      <c r="B31" s="141"/>
      <c r="C31" s="141"/>
      <c r="D31" s="141"/>
      <c r="E31" s="426"/>
      <c r="F31" s="141"/>
      <c r="G31" s="378"/>
      <c r="H31" s="383"/>
      <c r="I31" s="384"/>
      <c r="J31" s="141"/>
      <c r="K31" s="141"/>
      <c r="L31" s="141"/>
      <c r="M31" s="141"/>
      <c r="N31" s="141"/>
      <c r="O31" s="385"/>
      <c r="P31" s="148"/>
      <c r="Q31" s="148"/>
      <c r="R31" s="429"/>
      <c r="S31" s="145"/>
    </row>
    <row r="32" spans="1:19" ht="8.2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</row>
    <row r="33" spans="1:19" ht="20.25" customHeight="1">
      <c r="A33" s="161"/>
      <c r="B33" s="162"/>
      <c r="C33" s="162"/>
      <c r="D33" s="162"/>
      <c r="E33" s="163" t="s">
        <v>43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4"/>
    </row>
    <row r="34" spans="1:19" ht="20.25" customHeight="1">
      <c r="A34" s="165" t="s">
        <v>44</v>
      </c>
      <c r="B34" s="166"/>
      <c r="C34" s="166"/>
      <c r="D34" s="167"/>
      <c r="E34" s="168" t="s">
        <v>45</v>
      </c>
      <c r="F34" s="167"/>
      <c r="G34" s="168" t="s">
        <v>46</v>
      </c>
      <c r="H34" s="166"/>
      <c r="I34" s="167"/>
      <c r="J34" s="168" t="s">
        <v>47</v>
      </c>
      <c r="K34" s="166"/>
      <c r="L34" s="168" t="s">
        <v>48</v>
      </c>
      <c r="M34" s="166"/>
      <c r="N34" s="166"/>
      <c r="O34" s="167"/>
      <c r="P34" s="168" t="s">
        <v>49</v>
      </c>
      <c r="Q34" s="166"/>
      <c r="R34" s="166"/>
      <c r="S34" s="169"/>
    </row>
    <row r="35" spans="1:19" ht="20.25" customHeight="1">
      <c r="A35" s="170"/>
      <c r="B35" s="171"/>
      <c r="C35" s="171"/>
      <c r="D35" s="172">
        <v>0</v>
      </c>
      <c r="E35" s="173">
        <f>IF(D35=0,0,R47/D35)</f>
        <v>0</v>
      </c>
      <c r="F35" s="174"/>
      <c r="G35" s="175"/>
      <c r="H35" s="171"/>
      <c r="I35" s="172">
        <v>0</v>
      </c>
      <c r="J35" s="173">
        <f>IF(I35=0,0,R47/I35)</f>
        <v>0</v>
      </c>
      <c r="K35" s="176"/>
      <c r="L35" s="175"/>
      <c r="M35" s="171"/>
      <c r="N35" s="171"/>
      <c r="O35" s="172">
        <v>0</v>
      </c>
      <c r="P35" s="175"/>
      <c r="Q35" s="171"/>
      <c r="R35" s="177">
        <f>IF(O35=0,0,R47/O35)</f>
        <v>0</v>
      </c>
      <c r="S35" s="178"/>
    </row>
    <row r="36" spans="1:19" ht="20.25" customHeight="1">
      <c r="A36" s="161"/>
      <c r="B36" s="162"/>
      <c r="C36" s="162"/>
      <c r="D36" s="162"/>
      <c r="E36" s="163" t="s">
        <v>50</v>
      </c>
      <c r="F36" s="162"/>
      <c r="G36" s="162"/>
      <c r="H36" s="162"/>
      <c r="I36" s="162"/>
      <c r="J36" s="179" t="s">
        <v>51</v>
      </c>
      <c r="K36" s="162"/>
      <c r="L36" s="162"/>
      <c r="M36" s="162"/>
      <c r="N36" s="162"/>
      <c r="O36" s="162"/>
      <c r="P36" s="162"/>
      <c r="Q36" s="162"/>
      <c r="R36" s="162"/>
      <c r="S36" s="164"/>
    </row>
    <row r="37" spans="1:19" ht="20.25" customHeight="1">
      <c r="A37" s="180" t="s">
        <v>52</v>
      </c>
      <c r="B37" s="181"/>
      <c r="C37" s="182" t="s">
        <v>53</v>
      </c>
      <c r="D37" s="183"/>
      <c r="E37" s="183"/>
      <c r="F37" s="184"/>
      <c r="G37" s="180" t="s">
        <v>54</v>
      </c>
      <c r="H37" s="185"/>
      <c r="I37" s="182" t="s">
        <v>55</v>
      </c>
      <c r="J37" s="183"/>
      <c r="K37" s="183"/>
      <c r="L37" s="180" t="s">
        <v>56</v>
      </c>
      <c r="M37" s="185"/>
      <c r="N37" s="182" t="s">
        <v>57</v>
      </c>
      <c r="O37" s="183"/>
      <c r="P37" s="183"/>
      <c r="Q37" s="183"/>
      <c r="R37" s="183"/>
      <c r="S37" s="184"/>
    </row>
    <row r="38" spans="1:19" ht="20.25" customHeight="1">
      <c r="A38" s="186">
        <v>1</v>
      </c>
      <c r="B38" s="187" t="s">
        <v>58</v>
      </c>
      <c r="C38" s="144"/>
      <c r="D38" s="188" t="s">
        <v>59</v>
      </c>
      <c r="E38" s="189">
        <f>SUMIF('SO02 Rozpocet'!O5:O191,8,'SO02 Rozpocet'!I5:I191)</f>
        <v>0</v>
      </c>
      <c r="F38" s="190"/>
      <c r="G38" s="186">
        <v>8</v>
      </c>
      <c r="H38" s="191" t="s">
        <v>60</v>
      </c>
      <c r="I38" s="154"/>
      <c r="J38" s="192">
        <v>0</v>
      </c>
      <c r="K38" s="193"/>
      <c r="L38" s="186">
        <v>13</v>
      </c>
      <c r="M38" s="153" t="s">
        <v>61</v>
      </c>
      <c r="N38" s="157"/>
      <c r="O38" s="157"/>
      <c r="P38" s="194">
        <f>M49</f>
        <v>21</v>
      </c>
      <c r="Q38" s="195" t="s">
        <v>62</v>
      </c>
      <c r="R38" s="189">
        <f>0.023*E44</f>
        <v>0</v>
      </c>
      <c r="S38" s="190"/>
    </row>
    <row r="39" spans="1:19" ht="20.25" customHeight="1">
      <c r="A39" s="186">
        <v>2</v>
      </c>
      <c r="B39" s="196"/>
      <c r="C39" s="156"/>
      <c r="D39" s="188" t="s">
        <v>63</v>
      </c>
      <c r="E39" s="189">
        <f>SUMIF('SO02 Rozpocet'!O10:O191,4,'SO02 Rozpocet'!I10:I191)</f>
        <v>0</v>
      </c>
      <c r="F39" s="190"/>
      <c r="G39" s="186">
        <v>9</v>
      </c>
      <c r="H39" s="141" t="s">
        <v>64</v>
      </c>
      <c r="I39" s="188"/>
      <c r="J39" s="192">
        <v>0</v>
      </c>
      <c r="K39" s="193"/>
      <c r="L39" s="186">
        <v>14</v>
      </c>
      <c r="M39" s="153" t="s">
        <v>65</v>
      </c>
      <c r="N39" s="157"/>
      <c r="O39" s="157"/>
      <c r="P39" s="194">
        <f>M49</f>
        <v>21</v>
      </c>
      <c r="Q39" s="195" t="s">
        <v>62</v>
      </c>
      <c r="R39" s="189">
        <v>0</v>
      </c>
      <c r="S39" s="190"/>
    </row>
    <row r="40" spans="1:19" ht="20.25" customHeight="1">
      <c r="A40" s="186">
        <v>3</v>
      </c>
      <c r="B40" s="187" t="s">
        <v>66</v>
      </c>
      <c r="C40" s="144"/>
      <c r="D40" s="188" t="s">
        <v>59</v>
      </c>
      <c r="E40" s="189">
        <f>SUMIF('SO02 Rozpocet'!O11:O191,32,'SO02 Rozpocet'!I11:I191)</f>
        <v>0</v>
      </c>
      <c r="F40" s="190"/>
      <c r="G40" s="186">
        <v>10</v>
      </c>
      <c r="H40" s="191" t="s">
        <v>67</v>
      </c>
      <c r="I40" s="154"/>
      <c r="J40" s="192">
        <v>0</v>
      </c>
      <c r="K40" s="193"/>
      <c r="L40" s="186">
        <v>15</v>
      </c>
      <c r="M40" s="153" t="s">
        <v>68</v>
      </c>
      <c r="N40" s="157"/>
      <c r="O40" s="157"/>
      <c r="P40" s="194">
        <f>M49</f>
        <v>21</v>
      </c>
      <c r="Q40" s="195" t="s">
        <v>62</v>
      </c>
      <c r="R40" s="189">
        <v>0</v>
      </c>
      <c r="S40" s="190"/>
    </row>
    <row r="41" spans="1:19" ht="20.25" customHeight="1">
      <c r="A41" s="186">
        <v>4</v>
      </c>
      <c r="B41" s="196"/>
      <c r="C41" s="156"/>
      <c r="D41" s="188" t="s">
        <v>63</v>
      </c>
      <c r="E41" s="189">
        <f>SUMIF('SO02 Rozpocet'!O12:O191,16,'SO02 Rozpocet'!I12:I191)+SUMIF('SO02 Rozpocet'!O12:O191,128,'SO02 Rozpocet'!I12:I191)</f>
        <v>0</v>
      </c>
      <c r="F41" s="190"/>
      <c r="G41" s="186">
        <v>11</v>
      </c>
      <c r="H41" s="191"/>
      <c r="I41" s="154"/>
      <c r="J41" s="192">
        <v>0</v>
      </c>
      <c r="K41" s="193"/>
      <c r="L41" s="186">
        <v>16</v>
      </c>
      <c r="M41" s="153" t="s">
        <v>69</v>
      </c>
      <c r="N41" s="157"/>
      <c r="O41" s="157"/>
      <c r="P41" s="194">
        <f>M49</f>
        <v>21</v>
      </c>
      <c r="Q41" s="195" t="s">
        <v>62</v>
      </c>
      <c r="R41" s="189">
        <f>0.02*E44</f>
        <v>0</v>
      </c>
      <c r="S41" s="190"/>
    </row>
    <row r="42" spans="1:19" ht="20.25" customHeight="1">
      <c r="A42" s="186">
        <v>5</v>
      </c>
      <c r="B42" s="187" t="s">
        <v>70</v>
      </c>
      <c r="C42" s="144"/>
      <c r="D42" s="188" t="s">
        <v>59</v>
      </c>
      <c r="E42" s="189">
        <f>SUMIF('SO02 Rozpocet'!O13:O191,256,'SO02 Rozpocet'!I13:I191)</f>
        <v>0</v>
      </c>
      <c r="F42" s="190"/>
      <c r="G42" s="197"/>
      <c r="H42" s="157"/>
      <c r="I42" s="154"/>
      <c r="J42" s="198"/>
      <c r="K42" s="193"/>
      <c r="L42" s="186">
        <v>17</v>
      </c>
      <c r="M42" s="153" t="s">
        <v>11</v>
      </c>
      <c r="N42" s="157"/>
      <c r="O42" s="157"/>
      <c r="P42" s="194">
        <f>M49</f>
        <v>21</v>
      </c>
      <c r="Q42" s="195" t="s">
        <v>62</v>
      </c>
      <c r="R42" s="189">
        <v>0</v>
      </c>
      <c r="S42" s="190"/>
    </row>
    <row r="43" spans="1:19" ht="20.25" customHeight="1">
      <c r="A43" s="186">
        <v>6</v>
      </c>
      <c r="B43" s="196"/>
      <c r="C43" s="156"/>
      <c r="D43" s="188" t="s">
        <v>63</v>
      </c>
      <c r="E43" s="189">
        <f>SUMIF('SO02 Rozpocet'!O14:O191,64,'SO02 Rozpocet'!I14:I191)</f>
        <v>0</v>
      </c>
      <c r="F43" s="190"/>
      <c r="G43" s="197"/>
      <c r="H43" s="157"/>
      <c r="I43" s="154"/>
      <c r="J43" s="198"/>
      <c r="K43" s="193"/>
      <c r="L43" s="186">
        <v>18</v>
      </c>
      <c r="M43" s="191" t="s">
        <v>71</v>
      </c>
      <c r="N43" s="157"/>
      <c r="O43" s="157"/>
      <c r="P43" s="157"/>
      <c r="Q43" s="154"/>
      <c r="R43" s="189">
        <f>SUMIF('SO02 Rozpocet'!O14:O191,1024,'SO02 Rozpocet'!I14:I191)</f>
        <v>0</v>
      </c>
      <c r="S43" s="190"/>
    </row>
    <row r="44" spans="1:19" ht="20.25" customHeight="1">
      <c r="A44" s="186">
        <v>7</v>
      </c>
      <c r="B44" s="199" t="s">
        <v>72</v>
      </c>
      <c r="C44" s="157"/>
      <c r="D44" s="154"/>
      <c r="E44" s="200">
        <f>SUM(E38:E43)</f>
        <v>0</v>
      </c>
      <c r="F44" s="164"/>
      <c r="G44" s="186">
        <v>12</v>
      </c>
      <c r="H44" s="199" t="s">
        <v>73</v>
      </c>
      <c r="I44" s="154"/>
      <c r="J44" s="201">
        <f>SUM(J38:J41)</f>
        <v>0</v>
      </c>
      <c r="K44" s="202"/>
      <c r="L44" s="186">
        <v>19</v>
      </c>
      <c r="M44" s="187" t="s">
        <v>74</v>
      </c>
      <c r="N44" s="152"/>
      <c r="O44" s="152"/>
      <c r="P44" s="152"/>
      <c r="Q44" s="203"/>
      <c r="R44" s="200">
        <f>SUM(R38:R43)</f>
        <v>0</v>
      </c>
      <c r="S44" s="164"/>
    </row>
    <row r="45" spans="1:19" ht="20.25" customHeight="1">
      <c r="A45" s="204">
        <v>20</v>
      </c>
      <c r="B45" s="205" t="s">
        <v>13</v>
      </c>
      <c r="C45" s="206"/>
      <c r="D45" s="207"/>
      <c r="E45" s="208">
        <f>SUMIF('SO02 Rozpocet'!O14:O191,512,'SO02 Rozpocet'!I14:I191)</f>
        <v>0</v>
      </c>
      <c r="F45" s="160"/>
      <c r="G45" s="204">
        <v>21</v>
      </c>
      <c r="H45" s="205" t="s">
        <v>75</v>
      </c>
      <c r="I45" s="207"/>
      <c r="J45" s="209">
        <v>0</v>
      </c>
      <c r="K45" s="210">
        <f>M49</f>
        <v>21</v>
      </c>
      <c r="L45" s="204">
        <v>22</v>
      </c>
      <c r="M45" s="205" t="s">
        <v>76</v>
      </c>
      <c r="N45" s="206"/>
      <c r="O45" s="206"/>
      <c r="P45" s="206"/>
      <c r="Q45" s="207"/>
      <c r="R45" s="208">
        <f>SUMIF('SO02 Rozpocet'!O14:O191,"&lt;4",'SO02 Rozpocet'!I14:I191)+SUMIF('SO02 Rozpocet'!O14:O191,"&gt;1024",'SO02 Rozpocet'!I14:I191)</f>
        <v>0</v>
      </c>
      <c r="S45" s="160"/>
    </row>
    <row r="46" spans="1:19" ht="20.25" customHeight="1">
      <c r="A46" s="211" t="s">
        <v>38</v>
      </c>
      <c r="B46" s="138"/>
      <c r="C46" s="138"/>
      <c r="D46" s="138"/>
      <c r="E46" s="138"/>
      <c r="F46" s="212"/>
      <c r="G46" s="213"/>
      <c r="H46" s="138"/>
      <c r="I46" s="138"/>
      <c r="J46" s="138"/>
      <c r="K46" s="138"/>
      <c r="L46" s="180" t="s">
        <v>77</v>
      </c>
      <c r="M46" s="167"/>
      <c r="N46" s="182" t="s">
        <v>78</v>
      </c>
      <c r="O46" s="166"/>
      <c r="P46" s="166"/>
      <c r="Q46" s="166"/>
      <c r="R46" s="166"/>
      <c r="S46" s="169"/>
    </row>
    <row r="47" spans="1:19" ht="20.25" customHeight="1">
      <c r="A47" s="140"/>
      <c r="B47" s="141"/>
      <c r="C47" s="141"/>
      <c r="D47" s="141"/>
      <c r="E47" s="141"/>
      <c r="F47" s="146"/>
      <c r="G47" s="214"/>
      <c r="H47" s="141"/>
      <c r="I47" s="141"/>
      <c r="J47" s="141"/>
      <c r="K47" s="141"/>
      <c r="L47" s="186">
        <v>23</v>
      </c>
      <c r="M47" s="191" t="s">
        <v>79</v>
      </c>
      <c r="N47" s="157"/>
      <c r="O47" s="157"/>
      <c r="P47" s="157"/>
      <c r="Q47" s="190"/>
      <c r="R47" s="200">
        <f>ROUND(E44+J44+R44+E45+J45+R45,2)</f>
        <v>0</v>
      </c>
      <c r="S47" s="215">
        <f>E44+J44+R44+E45+J45+R45</f>
        <v>0</v>
      </c>
    </row>
    <row r="48" spans="1:19" ht="20.25" customHeight="1">
      <c r="A48" s="216" t="s">
        <v>80</v>
      </c>
      <c r="B48" s="155"/>
      <c r="C48" s="155"/>
      <c r="D48" s="155"/>
      <c r="E48" s="155"/>
      <c r="F48" s="156"/>
      <c r="G48" s="217" t="s">
        <v>81</v>
      </c>
      <c r="H48" s="155"/>
      <c r="I48" s="155"/>
      <c r="J48" s="155"/>
      <c r="K48" s="155"/>
      <c r="L48" s="186">
        <v>24</v>
      </c>
      <c r="M48" s="218">
        <v>15</v>
      </c>
      <c r="N48" s="156" t="s">
        <v>62</v>
      </c>
      <c r="O48" s="219">
        <f>R47-O49</f>
        <v>0</v>
      </c>
      <c r="P48" s="157" t="s">
        <v>82</v>
      </c>
      <c r="Q48" s="154"/>
      <c r="R48" s="220">
        <f>ROUNDUP(O48*M48/100,1)</f>
        <v>0</v>
      </c>
      <c r="S48" s="221">
        <f>O48*M48/100</f>
        <v>0</v>
      </c>
    </row>
    <row r="49" spans="1:19" ht="20.25" customHeight="1" thickBot="1">
      <c r="A49" s="222" t="s">
        <v>37</v>
      </c>
      <c r="B49" s="152"/>
      <c r="C49" s="152"/>
      <c r="D49" s="152"/>
      <c r="E49" s="152"/>
      <c r="F49" s="144"/>
      <c r="G49" s="223"/>
      <c r="H49" s="152"/>
      <c r="I49" s="152"/>
      <c r="J49" s="152"/>
      <c r="K49" s="152"/>
      <c r="L49" s="186">
        <v>25</v>
      </c>
      <c r="M49" s="224">
        <v>21</v>
      </c>
      <c r="N49" s="154" t="s">
        <v>62</v>
      </c>
      <c r="O49" s="219">
        <f>ROUND(SUMIF('SO02 Rozpocet'!N14:N191,M49,'SO02 Rozpocet'!I14:I191)+SUMIF(P38:P42,M49,R38:R42)+IF(K45=M49,J45,0),2)</f>
        <v>0</v>
      </c>
      <c r="P49" s="157" t="s">
        <v>82</v>
      </c>
      <c r="Q49" s="154"/>
      <c r="R49" s="189">
        <f>ROUNDUP(O49*M49/100,1)</f>
        <v>0</v>
      </c>
      <c r="S49" s="225">
        <f>O49*M49/100</f>
        <v>0</v>
      </c>
    </row>
    <row r="50" spans="1:19" ht="20.25" customHeight="1" thickBot="1">
      <c r="A50" s="140"/>
      <c r="B50" s="141"/>
      <c r="C50" s="141"/>
      <c r="D50" s="141"/>
      <c r="E50" s="141"/>
      <c r="F50" s="146"/>
      <c r="G50" s="214"/>
      <c r="H50" s="141"/>
      <c r="I50" s="141"/>
      <c r="J50" s="141"/>
      <c r="K50" s="141"/>
      <c r="L50" s="204">
        <v>26</v>
      </c>
      <c r="M50" s="226" t="s">
        <v>83</v>
      </c>
      <c r="N50" s="206"/>
      <c r="O50" s="206"/>
      <c r="P50" s="206"/>
      <c r="Q50" s="227"/>
      <c r="R50" s="228">
        <f>R47+R48+R49</f>
        <v>0</v>
      </c>
      <c r="S50" s="229"/>
    </row>
    <row r="51" spans="1:19" ht="20.25" customHeight="1">
      <c r="A51" s="216" t="s">
        <v>80</v>
      </c>
      <c r="B51" s="155"/>
      <c r="C51" s="155"/>
      <c r="D51" s="155"/>
      <c r="E51" s="155"/>
      <c r="F51" s="156"/>
      <c r="G51" s="217" t="s">
        <v>81</v>
      </c>
      <c r="H51" s="155"/>
      <c r="I51" s="155"/>
      <c r="J51" s="155"/>
      <c r="K51" s="155"/>
      <c r="L51" s="180" t="s">
        <v>84</v>
      </c>
      <c r="M51" s="167"/>
      <c r="N51" s="182" t="s">
        <v>85</v>
      </c>
      <c r="O51" s="166"/>
      <c r="P51" s="166"/>
      <c r="Q51" s="166"/>
      <c r="R51" s="230"/>
      <c r="S51" s="169"/>
    </row>
    <row r="52" spans="1:19" ht="20.25" customHeight="1">
      <c r="A52" s="222" t="s">
        <v>39</v>
      </c>
      <c r="B52" s="152"/>
      <c r="C52" s="152"/>
      <c r="D52" s="152"/>
      <c r="E52" s="152"/>
      <c r="F52" s="144"/>
      <c r="G52" s="223"/>
      <c r="H52" s="152"/>
      <c r="I52" s="152"/>
      <c r="J52" s="152"/>
      <c r="K52" s="152"/>
      <c r="L52" s="186">
        <v>27</v>
      </c>
      <c r="M52" s="191" t="s">
        <v>86</v>
      </c>
      <c r="N52" s="157"/>
      <c r="O52" s="157"/>
      <c r="P52" s="157"/>
      <c r="Q52" s="154"/>
      <c r="R52" s="189">
        <v>0</v>
      </c>
      <c r="S52" s="190"/>
    </row>
    <row r="53" spans="1:19" ht="20.25" customHeight="1">
      <c r="A53" s="140"/>
      <c r="B53" s="141"/>
      <c r="C53" s="141"/>
      <c r="D53" s="141"/>
      <c r="E53" s="141"/>
      <c r="F53" s="146"/>
      <c r="G53" s="214"/>
      <c r="H53" s="141"/>
      <c r="I53" s="141"/>
      <c r="J53" s="141"/>
      <c r="K53" s="141"/>
      <c r="L53" s="186">
        <v>28</v>
      </c>
      <c r="M53" s="191" t="s">
        <v>87</v>
      </c>
      <c r="N53" s="157"/>
      <c r="O53" s="157"/>
      <c r="P53" s="157"/>
      <c r="Q53" s="154"/>
      <c r="R53" s="189">
        <v>0</v>
      </c>
      <c r="S53" s="190"/>
    </row>
    <row r="54" spans="1:19" ht="20.25" customHeight="1">
      <c r="A54" s="231" t="s">
        <v>80</v>
      </c>
      <c r="B54" s="159"/>
      <c r="C54" s="159"/>
      <c r="D54" s="159"/>
      <c r="E54" s="159"/>
      <c r="F54" s="232"/>
      <c r="G54" s="233" t="s">
        <v>81</v>
      </c>
      <c r="H54" s="159"/>
      <c r="I54" s="159"/>
      <c r="J54" s="159"/>
      <c r="K54" s="159"/>
      <c r="L54" s="204">
        <v>29</v>
      </c>
      <c r="M54" s="205" t="s">
        <v>88</v>
      </c>
      <c r="N54" s="206"/>
      <c r="O54" s="206"/>
      <c r="P54" s="206"/>
      <c r="Q54" s="207"/>
      <c r="R54" s="173">
        <v>0</v>
      </c>
      <c r="S54" s="234"/>
    </row>
  </sheetData>
  <sheetProtection password="EF31" sheet="1" objects="1" scenarios="1" selectLockedCells="1"/>
  <mergeCells count="4">
    <mergeCell ref="E5:J5"/>
    <mergeCell ref="E7:J7"/>
    <mergeCell ref="E9:J9"/>
    <mergeCell ref="P9:R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1"/>
  <sheetViews>
    <sheetView view="pageBreakPreview" zoomScale="130" zoomScaleSheetLayoutView="130" workbookViewId="0" topLeftCell="A1">
      <selection activeCell="H16" sqref="H16"/>
    </sheetView>
  </sheetViews>
  <sheetFormatPr defaultColWidth="9.33203125" defaultRowHeight="11.25" customHeight="1"/>
  <cols>
    <col min="1" max="1" width="6.5" style="132" customWidth="1"/>
    <col min="2" max="2" width="5.16015625" style="132" customWidth="1"/>
    <col min="3" max="3" width="5.5" style="132" customWidth="1"/>
    <col min="4" max="4" width="14.83203125" style="132" customWidth="1"/>
    <col min="5" max="5" width="64.83203125" style="132" customWidth="1"/>
    <col min="6" max="6" width="5.5" style="132" customWidth="1"/>
    <col min="7" max="7" width="11.5" style="132" customWidth="1"/>
    <col min="8" max="8" width="11.33203125" style="132" customWidth="1"/>
    <col min="9" max="9" width="15.83203125" style="132" customWidth="1"/>
    <col min="10" max="10" width="12.33203125" style="132" hidden="1" customWidth="1"/>
    <col min="11" max="11" width="12.66015625" style="132" hidden="1" customWidth="1"/>
    <col min="12" max="12" width="11.33203125" style="132" hidden="1" customWidth="1"/>
    <col min="13" max="13" width="13.5" style="132" hidden="1" customWidth="1"/>
    <col min="14" max="14" width="6.16015625" style="132" customWidth="1"/>
    <col min="15" max="15" width="8.16015625" style="132" hidden="1" customWidth="1"/>
    <col min="16" max="16" width="8.5" style="132" hidden="1" customWidth="1"/>
    <col min="17" max="19" width="10.66015625" style="132" hidden="1" customWidth="1"/>
    <col min="20" max="20" width="9.33203125" style="132" hidden="1" customWidth="1"/>
    <col min="21" max="16384" width="9.33203125" style="132" customWidth="1"/>
  </cols>
  <sheetData>
    <row r="1" spans="1:20" ht="18" customHeight="1">
      <c r="A1" s="235" t="s">
        <v>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237"/>
      <c r="Q1" s="236"/>
      <c r="R1" s="236"/>
      <c r="S1" s="236"/>
      <c r="T1" s="236"/>
    </row>
    <row r="2" spans="1:20" ht="11.25" customHeight="1">
      <c r="A2" s="238" t="s">
        <v>0</v>
      </c>
      <c r="B2" s="239"/>
      <c r="C2" s="239" t="str">
        <f>'SO02 Krycí list'!E5</f>
        <v>Nový Jičín - HANON SYSTEMS - sanace</v>
      </c>
      <c r="D2" s="239"/>
      <c r="E2" s="239"/>
      <c r="F2" s="239"/>
      <c r="G2" s="239"/>
      <c r="H2" s="239"/>
      <c r="I2" s="239"/>
      <c r="J2" s="239"/>
      <c r="K2" s="239"/>
      <c r="L2" s="236"/>
      <c r="M2" s="236"/>
      <c r="N2" s="236"/>
      <c r="O2" s="237"/>
      <c r="P2" s="237"/>
      <c r="Q2" s="236"/>
      <c r="R2" s="236"/>
      <c r="S2" s="236"/>
      <c r="T2" s="236"/>
    </row>
    <row r="3" spans="1:20" ht="11.25" customHeight="1">
      <c r="A3" s="238" t="s">
        <v>90</v>
      </c>
      <c r="B3" s="239"/>
      <c r="C3" s="239" t="str">
        <f>'SO02 Krycí list'!E7</f>
        <v>SO 02 Sanační plocha 2</v>
      </c>
      <c r="D3" s="239"/>
      <c r="E3" s="239"/>
      <c r="F3" s="239"/>
      <c r="G3" s="239"/>
      <c r="H3" s="239"/>
      <c r="I3" s="239"/>
      <c r="J3" s="239"/>
      <c r="K3" s="239"/>
      <c r="L3" s="236"/>
      <c r="M3" s="236"/>
      <c r="N3" s="236"/>
      <c r="O3" s="237"/>
      <c r="P3" s="237"/>
      <c r="Q3" s="236"/>
      <c r="R3" s="236"/>
      <c r="S3" s="236"/>
      <c r="T3" s="236"/>
    </row>
    <row r="4" spans="1:20" ht="11.25" customHeight="1">
      <c r="A4" s="238" t="s">
        <v>91</v>
      </c>
      <c r="B4" s="239"/>
      <c r="C4" s="239" t="str">
        <f>'SO02 Krycí list'!E9</f>
        <v>Stavební část</v>
      </c>
      <c r="D4" s="239"/>
      <c r="E4" s="239"/>
      <c r="F4" s="239"/>
      <c r="G4" s="239"/>
      <c r="H4" s="239"/>
      <c r="I4" s="239"/>
      <c r="J4" s="239"/>
      <c r="K4" s="239"/>
      <c r="L4" s="236"/>
      <c r="M4" s="236"/>
      <c r="N4" s="236"/>
      <c r="O4" s="237"/>
      <c r="P4" s="237"/>
      <c r="Q4" s="236"/>
      <c r="R4" s="236"/>
      <c r="S4" s="236"/>
      <c r="T4" s="236"/>
    </row>
    <row r="5" spans="1:20" ht="11.25" customHeight="1">
      <c r="A5" s="239" t="s">
        <v>92</v>
      </c>
      <c r="B5" s="239"/>
      <c r="C5" s="239" t="str">
        <f>'SO02 Krycí list'!P5</f>
        <v xml:space="preserve"> </v>
      </c>
      <c r="D5" s="239"/>
      <c r="E5" s="239"/>
      <c r="F5" s="239"/>
      <c r="G5" s="239"/>
      <c r="H5" s="239"/>
      <c r="I5" s="239"/>
      <c r="J5" s="239"/>
      <c r="K5" s="239"/>
      <c r="L5" s="236"/>
      <c r="M5" s="236"/>
      <c r="N5" s="236"/>
      <c r="O5" s="237"/>
      <c r="P5" s="237"/>
      <c r="Q5" s="236"/>
      <c r="R5" s="236"/>
      <c r="S5" s="236"/>
      <c r="T5" s="236"/>
    </row>
    <row r="6" spans="1:20" ht="6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6"/>
      <c r="M6" s="236"/>
      <c r="N6" s="236"/>
      <c r="O6" s="237"/>
      <c r="P6" s="237"/>
      <c r="Q6" s="236"/>
      <c r="R6" s="236"/>
      <c r="S6" s="236"/>
      <c r="T6" s="236"/>
    </row>
    <row r="7" spans="1:20" ht="11.25" customHeight="1">
      <c r="A7" s="239" t="s">
        <v>2</v>
      </c>
      <c r="B7" s="239"/>
      <c r="C7" s="239" t="str">
        <f>'SO02 Krycí list'!E26</f>
        <v>Ministerstvo financí ČR</v>
      </c>
      <c r="D7" s="239"/>
      <c r="E7" s="239"/>
      <c r="F7" s="239"/>
      <c r="G7" s="239"/>
      <c r="H7" s="239"/>
      <c r="I7" s="239"/>
      <c r="J7" s="239"/>
      <c r="K7" s="239"/>
      <c r="L7" s="236"/>
      <c r="M7" s="236"/>
      <c r="N7" s="236"/>
      <c r="O7" s="237"/>
      <c r="P7" s="237"/>
      <c r="Q7" s="236"/>
      <c r="R7" s="236"/>
      <c r="S7" s="236"/>
      <c r="T7" s="236"/>
    </row>
    <row r="8" spans="1:20" ht="11.25" customHeight="1">
      <c r="A8" s="239" t="s">
        <v>4</v>
      </c>
      <c r="B8" s="239"/>
      <c r="C8" s="386" t="str">
        <f>'SO02 Krycí list'!E28</f>
        <v xml:space="preserve"> </v>
      </c>
      <c r="D8" s="386"/>
      <c r="E8" s="386"/>
      <c r="F8" s="239"/>
      <c r="G8" s="239"/>
      <c r="H8" s="239"/>
      <c r="I8" s="239"/>
      <c r="J8" s="239"/>
      <c r="K8" s="239"/>
      <c r="L8" s="236"/>
      <c r="M8" s="236"/>
      <c r="N8" s="236"/>
      <c r="O8" s="237"/>
      <c r="P8" s="237"/>
      <c r="Q8" s="236"/>
      <c r="R8" s="236"/>
      <c r="S8" s="236"/>
      <c r="T8" s="236"/>
    </row>
    <row r="9" spans="1:20" ht="11.25" customHeight="1">
      <c r="A9" s="239" t="s">
        <v>1</v>
      </c>
      <c r="B9" s="239"/>
      <c r="C9" s="386"/>
      <c r="D9" s="411"/>
      <c r="E9" s="386"/>
      <c r="F9" s="239"/>
      <c r="G9" s="239"/>
      <c r="H9" s="239"/>
      <c r="I9" s="239"/>
      <c r="J9" s="239"/>
      <c r="K9" s="239"/>
      <c r="L9" s="236"/>
      <c r="M9" s="236"/>
      <c r="N9" s="236"/>
      <c r="O9" s="237"/>
      <c r="P9" s="237"/>
      <c r="Q9" s="236"/>
      <c r="R9" s="236"/>
      <c r="S9" s="236"/>
      <c r="T9" s="236"/>
    </row>
    <row r="10" spans="1:20" ht="5.2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7"/>
      <c r="Q10" s="236"/>
      <c r="R10" s="236"/>
      <c r="S10" s="236"/>
      <c r="T10" s="236"/>
    </row>
    <row r="11" spans="1:21" ht="21.75" customHeight="1">
      <c r="A11" s="240" t="s">
        <v>93</v>
      </c>
      <c r="B11" s="241" t="s">
        <v>94</v>
      </c>
      <c r="C11" s="241" t="s">
        <v>95</v>
      </c>
      <c r="D11" s="241" t="s">
        <v>96</v>
      </c>
      <c r="E11" s="241" t="s">
        <v>97</v>
      </c>
      <c r="F11" s="241" t="s">
        <v>98</v>
      </c>
      <c r="G11" s="241" t="s">
        <v>99</v>
      </c>
      <c r="H11" s="241" t="s">
        <v>100</v>
      </c>
      <c r="I11" s="241" t="s">
        <v>101</v>
      </c>
      <c r="J11" s="241" t="s">
        <v>102</v>
      </c>
      <c r="K11" s="241" t="s">
        <v>103</v>
      </c>
      <c r="L11" s="241" t="s">
        <v>104</v>
      </c>
      <c r="M11" s="241" t="s">
        <v>105</v>
      </c>
      <c r="N11" s="241" t="s">
        <v>106</v>
      </c>
      <c r="O11" s="242" t="s">
        <v>107</v>
      </c>
      <c r="P11" s="243" t="s">
        <v>108</v>
      </c>
      <c r="Q11" s="241"/>
      <c r="R11" s="241"/>
      <c r="S11" s="241"/>
      <c r="T11" s="244" t="s">
        <v>109</v>
      </c>
      <c r="U11" s="245"/>
    </row>
    <row r="12" spans="1:21" ht="11.25" customHeight="1">
      <c r="A12" s="246">
        <v>1</v>
      </c>
      <c r="B12" s="247">
        <v>2</v>
      </c>
      <c r="C12" s="247">
        <v>3</v>
      </c>
      <c r="D12" s="247">
        <v>4</v>
      </c>
      <c r="E12" s="247">
        <v>5</v>
      </c>
      <c r="F12" s="247">
        <v>6</v>
      </c>
      <c r="G12" s="247">
        <v>7</v>
      </c>
      <c r="H12" s="247">
        <v>8</v>
      </c>
      <c r="I12" s="247">
        <v>9</v>
      </c>
      <c r="J12" s="247"/>
      <c r="K12" s="247"/>
      <c r="L12" s="247"/>
      <c r="M12" s="247"/>
      <c r="N12" s="247">
        <v>10</v>
      </c>
      <c r="O12" s="248">
        <v>11</v>
      </c>
      <c r="P12" s="249">
        <v>12</v>
      </c>
      <c r="Q12" s="247"/>
      <c r="R12" s="247"/>
      <c r="S12" s="247"/>
      <c r="T12" s="250">
        <v>11</v>
      </c>
      <c r="U12" s="245"/>
    </row>
    <row r="13" spans="1:20" ht="3.7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251"/>
      <c r="Q13" s="236"/>
      <c r="R13" s="236"/>
      <c r="S13" s="236"/>
      <c r="T13" s="236"/>
    </row>
    <row r="14" spans="1:16" s="256" customFormat="1" ht="12.75" customHeight="1">
      <c r="A14" s="252"/>
      <c r="B14" s="253" t="s">
        <v>77</v>
      </c>
      <c r="C14" s="252"/>
      <c r="D14" s="252" t="s">
        <v>58</v>
      </c>
      <c r="E14" s="252" t="s">
        <v>110</v>
      </c>
      <c r="F14" s="252"/>
      <c r="G14" s="252"/>
      <c r="H14" s="252"/>
      <c r="I14" s="254">
        <f>I15+I148+I158+I168+I174</f>
        <v>0</v>
      </c>
      <c r="J14" s="252"/>
      <c r="K14" s="255">
        <f>K15+K148+K158+K168+K174</f>
        <v>131.36021725</v>
      </c>
      <c r="L14" s="252"/>
      <c r="M14" s="255">
        <f>M15+M148+M158+M168+M174</f>
        <v>53.279999999999994</v>
      </c>
      <c r="N14" s="252"/>
      <c r="P14" s="257" t="s">
        <v>111</v>
      </c>
    </row>
    <row r="15" spans="2:16" s="256" customFormat="1" ht="12.75" customHeight="1">
      <c r="B15" s="258" t="s">
        <v>77</v>
      </c>
      <c r="D15" s="259" t="s">
        <v>112</v>
      </c>
      <c r="E15" s="259" t="s">
        <v>113</v>
      </c>
      <c r="I15" s="260">
        <f>SUM(I16:I147)</f>
        <v>0</v>
      </c>
      <c r="K15" s="261">
        <f>SUM(K16:K147)</f>
        <v>23.080397249999997</v>
      </c>
      <c r="M15" s="261">
        <f>SUM(M16:M147)</f>
        <v>53.279999999999994</v>
      </c>
      <c r="P15" s="259" t="s">
        <v>112</v>
      </c>
    </row>
    <row r="16" spans="1:16" s="141" customFormat="1" ht="13.5" customHeight="1">
      <c r="A16" s="262" t="s">
        <v>112</v>
      </c>
      <c r="B16" s="262" t="s">
        <v>114</v>
      </c>
      <c r="C16" s="262" t="s">
        <v>115</v>
      </c>
      <c r="D16" s="263" t="s">
        <v>116</v>
      </c>
      <c r="E16" s="264" t="s">
        <v>117</v>
      </c>
      <c r="F16" s="262" t="s">
        <v>118</v>
      </c>
      <c r="G16" s="265">
        <v>1</v>
      </c>
      <c r="H16" s="387"/>
      <c r="I16" s="266">
        <f>ROUND(G16*H16,2)</f>
        <v>0</v>
      </c>
      <c r="J16" s="267">
        <v>0</v>
      </c>
      <c r="K16" s="265">
        <f>G16*J16</f>
        <v>0</v>
      </c>
      <c r="L16" s="267">
        <v>0</v>
      </c>
      <c r="M16" s="265">
        <f>G16*L16</f>
        <v>0</v>
      </c>
      <c r="N16" s="268">
        <v>21</v>
      </c>
      <c r="O16" s="269">
        <v>4</v>
      </c>
      <c r="P16" s="141" t="s">
        <v>119</v>
      </c>
    </row>
    <row r="17" spans="4:19" s="141" customFormat="1" ht="15.75" customHeight="1">
      <c r="D17" s="270"/>
      <c r="E17" s="271" t="s">
        <v>337</v>
      </c>
      <c r="G17" s="272"/>
      <c r="P17" s="270" t="s">
        <v>119</v>
      </c>
      <c r="Q17" s="270" t="s">
        <v>112</v>
      </c>
      <c r="R17" s="270" t="s">
        <v>309</v>
      </c>
      <c r="S17" s="270" t="s">
        <v>111</v>
      </c>
    </row>
    <row r="18" spans="4:19" s="141" customFormat="1" ht="15.75" customHeight="1">
      <c r="D18" s="273"/>
      <c r="E18" s="274" t="s">
        <v>112</v>
      </c>
      <c r="G18" s="275">
        <v>1</v>
      </c>
      <c r="P18" s="273" t="s">
        <v>119</v>
      </c>
      <c r="Q18" s="273" t="s">
        <v>119</v>
      </c>
      <c r="R18" s="273" t="s">
        <v>309</v>
      </c>
      <c r="S18" s="273" t="s">
        <v>112</v>
      </c>
    </row>
    <row r="19" spans="1:16" s="141" customFormat="1" ht="13.5" customHeight="1">
      <c r="A19" s="262" t="s">
        <v>119</v>
      </c>
      <c r="B19" s="262" t="s">
        <v>114</v>
      </c>
      <c r="C19" s="262" t="s">
        <v>115</v>
      </c>
      <c r="D19" s="263" t="s">
        <v>120</v>
      </c>
      <c r="E19" s="264" t="s">
        <v>121</v>
      </c>
      <c r="F19" s="262" t="s">
        <v>118</v>
      </c>
      <c r="G19" s="265">
        <v>1</v>
      </c>
      <c r="H19" s="387"/>
      <c r="I19" s="266">
        <f>ROUND(G19*H19,2)</f>
        <v>0</v>
      </c>
      <c r="J19" s="267">
        <v>8E-05</v>
      </c>
      <c r="K19" s="265">
        <f>G19*J19</f>
        <v>8E-05</v>
      </c>
      <c r="L19" s="267">
        <v>0</v>
      </c>
      <c r="M19" s="265">
        <f>G19*L19</f>
        <v>0</v>
      </c>
      <c r="N19" s="268">
        <v>21</v>
      </c>
      <c r="O19" s="269">
        <v>4</v>
      </c>
      <c r="P19" s="141" t="s">
        <v>119</v>
      </c>
    </row>
    <row r="20" spans="4:19" s="141" customFormat="1" ht="15.75" customHeight="1">
      <c r="D20" s="270"/>
      <c r="E20" s="271" t="s">
        <v>338</v>
      </c>
      <c r="G20" s="272"/>
      <c r="P20" s="270" t="s">
        <v>119</v>
      </c>
      <c r="Q20" s="270" t="s">
        <v>112</v>
      </c>
      <c r="R20" s="270" t="s">
        <v>309</v>
      </c>
      <c r="S20" s="270" t="s">
        <v>111</v>
      </c>
    </row>
    <row r="21" spans="4:19" s="141" customFormat="1" ht="15.75" customHeight="1">
      <c r="D21" s="273"/>
      <c r="E21" s="274" t="s">
        <v>112</v>
      </c>
      <c r="G21" s="275">
        <v>1</v>
      </c>
      <c r="P21" s="273" t="s">
        <v>119</v>
      </c>
      <c r="Q21" s="273" t="s">
        <v>119</v>
      </c>
      <c r="R21" s="273" t="s">
        <v>309</v>
      </c>
      <c r="S21" s="273" t="s">
        <v>112</v>
      </c>
    </row>
    <row r="22" spans="1:16" s="141" customFormat="1" ht="13.5" customHeight="1">
      <c r="A22" s="262" t="s">
        <v>122</v>
      </c>
      <c r="B22" s="262" t="s">
        <v>114</v>
      </c>
      <c r="C22" s="262" t="s">
        <v>123</v>
      </c>
      <c r="D22" s="263" t="s">
        <v>124</v>
      </c>
      <c r="E22" s="264" t="s">
        <v>125</v>
      </c>
      <c r="F22" s="262" t="s">
        <v>126</v>
      </c>
      <c r="G22" s="265">
        <v>60</v>
      </c>
      <c r="H22" s="387"/>
      <c r="I22" s="266">
        <f>ROUND(G22*H22,2)</f>
        <v>0</v>
      </c>
      <c r="J22" s="267">
        <v>0</v>
      </c>
      <c r="K22" s="265">
        <f>G22*J22</f>
        <v>0</v>
      </c>
      <c r="L22" s="267">
        <v>0.408</v>
      </c>
      <c r="M22" s="265">
        <f>G22*L22</f>
        <v>24.479999999999997</v>
      </c>
      <c r="N22" s="268">
        <v>21</v>
      </c>
      <c r="O22" s="269">
        <v>4</v>
      </c>
      <c r="P22" s="141" t="s">
        <v>119</v>
      </c>
    </row>
    <row r="23" spans="4:19" s="141" customFormat="1" ht="15.75" customHeight="1">
      <c r="D23" s="270"/>
      <c r="E23" s="271" t="s">
        <v>338</v>
      </c>
      <c r="G23" s="272"/>
      <c r="P23" s="270" t="s">
        <v>119</v>
      </c>
      <c r="Q23" s="270" t="s">
        <v>112</v>
      </c>
      <c r="R23" s="270" t="s">
        <v>309</v>
      </c>
      <c r="S23" s="270" t="s">
        <v>111</v>
      </c>
    </row>
    <row r="24" spans="4:19" s="141" customFormat="1" ht="15.75" customHeight="1">
      <c r="D24" s="270"/>
      <c r="E24" s="271" t="s">
        <v>310</v>
      </c>
      <c r="G24" s="272"/>
      <c r="P24" s="270" t="s">
        <v>119</v>
      </c>
      <c r="Q24" s="270" t="s">
        <v>112</v>
      </c>
      <c r="R24" s="270" t="s">
        <v>309</v>
      </c>
      <c r="S24" s="270" t="s">
        <v>111</v>
      </c>
    </row>
    <row r="25" spans="4:19" s="141" customFormat="1" ht="15.75" customHeight="1">
      <c r="D25" s="273"/>
      <c r="E25" s="274" t="s">
        <v>311</v>
      </c>
      <c r="G25" s="275">
        <v>60</v>
      </c>
      <c r="P25" s="273" t="s">
        <v>119</v>
      </c>
      <c r="Q25" s="273" t="s">
        <v>119</v>
      </c>
      <c r="R25" s="273" t="s">
        <v>309</v>
      </c>
      <c r="S25" s="273" t="s">
        <v>112</v>
      </c>
    </row>
    <row r="26" spans="1:16" s="141" customFormat="1" ht="13.5" customHeight="1">
      <c r="A26" s="262" t="s">
        <v>127</v>
      </c>
      <c r="B26" s="262" t="s">
        <v>114</v>
      </c>
      <c r="C26" s="262" t="s">
        <v>123</v>
      </c>
      <c r="D26" s="263" t="s">
        <v>128</v>
      </c>
      <c r="E26" s="264" t="s">
        <v>129</v>
      </c>
      <c r="F26" s="262" t="s">
        <v>126</v>
      </c>
      <c r="G26" s="265">
        <v>120</v>
      </c>
      <c r="H26" s="387"/>
      <c r="I26" s="266">
        <f>ROUND(G26*H26,2)</f>
        <v>0</v>
      </c>
      <c r="J26" s="267">
        <v>0</v>
      </c>
      <c r="K26" s="265">
        <f>G26*J26</f>
        <v>0</v>
      </c>
      <c r="L26" s="267">
        <v>0.24</v>
      </c>
      <c r="M26" s="265">
        <f>G26*L26</f>
        <v>28.799999999999997</v>
      </c>
      <c r="N26" s="268">
        <v>21</v>
      </c>
      <c r="O26" s="269">
        <v>4</v>
      </c>
      <c r="P26" s="141" t="s">
        <v>119</v>
      </c>
    </row>
    <row r="27" spans="4:19" s="141" customFormat="1" ht="15.75" customHeight="1">
      <c r="D27" s="270"/>
      <c r="E27" s="271" t="s">
        <v>338</v>
      </c>
      <c r="G27" s="272"/>
      <c r="P27" s="270" t="s">
        <v>119</v>
      </c>
      <c r="Q27" s="270" t="s">
        <v>112</v>
      </c>
      <c r="R27" s="270" t="s">
        <v>309</v>
      </c>
      <c r="S27" s="270" t="s">
        <v>111</v>
      </c>
    </row>
    <row r="28" spans="4:19" s="141" customFormat="1" ht="15.75" customHeight="1">
      <c r="D28" s="270"/>
      <c r="E28" s="271" t="s">
        <v>310</v>
      </c>
      <c r="G28" s="272"/>
      <c r="P28" s="270" t="s">
        <v>119</v>
      </c>
      <c r="Q28" s="270" t="s">
        <v>112</v>
      </c>
      <c r="R28" s="270" t="s">
        <v>309</v>
      </c>
      <c r="S28" s="270" t="s">
        <v>111</v>
      </c>
    </row>
    <row r="29" spans="4:19" s="141" customFormat="1" ht="15.75" customHeight="1">
      <c r="D29" s="273"/>
      <c r="E29" s="274" t="s">
        <v>312</v>
      </c>
      <c r="G29" s="275">
        <v>120</v>
      </c>
      <c r="P29" s="273" t="s">
        <v>119</v>
      </c>
      <c r="Q29" s="273" t="s">
        <v>119</v>
      </c>
      <c r="R29" s="273" t="s">
        <v>309</v>
      </c>
      <c r="S29" s="273" t="s">
        <v>112</v>
      </c>
    </row>
    <row r="30" spans="1:16" s="141" customFormat="1" ht="13.5" customHeight="1">
      <c r="A30" s="262" t="s">
        <v>130</v>
      </c>
      <c r="B30" s="262" t="s">
        <v>114</v>
      </c>
      <c r="C30" s="262" t="s">
        <v>115</v>
      </c>
      <c r="D30" s="263" t="s">
        <v>131</v>
      </c>
      <c r="E30" s="264" t="s">
        <v>132</v>
      </c>
      <c r="F30" s="262" t="s">
        <v>133</v>
      </c>
      <c r="G30" s="297">
        <f>G32</f>
        <v>600</v>
      </c>
      <c r="H30" s="387"/>
      <c r="I30" s="266">
        <f>ROUND(G30*H30,2)</f>
        <v>0</v>
      </c>
      <c r="J30" s="267">
        <v>0</v>
      </c>
      <c r="K30" s="265">
        <f>G30*J30</f>
        <v>0</v>
      </c>
      <c r="L30" s="267">
        <v>0</v>
      </c>
      <c r="M30" s="265">
        <f>G30*L30</f>
        <v>0</v>
      </c>
      <c r="N30" s="268">
        <v>21</v>
      </c>
      <c r="O30" s="269">
        <v>4</v>
      </c>
      <c r="P30" s="141" t="s">
        <v>119</v>
      </c>
    </row>
    <row r="31" spans="4:19" s="141" customFormat="1" ht="15.75" customHeight="1">
      <c r="D31" s="270"/>
      <c r="E31" s="271" t="s">
        <v>338</v>
      </c>
      <c r="G31" s="298"/>
      <c r="P31" s="270" t="s">
        <v>119</v>
      </c>
      <c r="Q31" s="270" t="s">
        <v>112</v>
      </c>
      <c r="R31" s="270" t="s">
        <v>309</v>
      </c>
      <c r="S31" s="270" t="s">
        <v>111</v>
      </c>
    </row>
    <row r="32" spans="4:19" s="141" customFormat="1" ht="15.75" customHeight="1">
      <c r="D32" s="273"/>
      <c r="E32" s="303" t="s">
        <v>355</v>
      </c>
      <c r="G32" s="299">
        <f>24*G33</f>
        <v>600</v>
      </c>
      <c r="P32" s="273" t="s">
        <v>119</v>
      </c>
      <c r="Q32" s="273" t="s">
        <v>119</v>
      </c>
      <c r="R32" s="273" t="s">
        <v>309</v>
      </c>
      <c r="S32" s="273" t="s">
        <v>112</v>
      </c>
    </row>
    <row r="33" spans="1:16" s="141" customFormat="1" ht="13.5" customHeight="1">
      <c r="A33" s="262" t="s">
        <v>134</v>
      </c>
      <c r="B33" s="262" t="s">
        <v>114</v>
      </c>
      <c r="C33" s="262" t="s">
        <v>115</v>
      </c>
      <c r="D33" s="263" t="s">
        <v>135</v>
      </c>
      <c r="E33" s="264" t="s">
        <v>136</v>
      </c>
      <c r="F33" s="262" t="s">
        <v>137</v>
      </c>
      <c r="G33" s="297">
        <v>25</v>
      </c>
      <c r="H33" s="387"/>
      <c r="I33" s="266">
        <f>ROUND(G33*H33,2)</f>
        <v>0</v>
      </c>
      <c r="J33" s="267">
        <v>0</v>
      </c>
      <c r="K33" s="265">
        <f>G33*J33</f>
        <v>0</v>
      </c>
      <c r="L33" s="267">
        <v>0</v>
      </c>
      <c r="M33" s="265">
        <f>G33*L33</f>
        <v>0</v>
      </c>
      <c r="N33" s="268">
        <v>21</v>
      </c>
      <c r="O33" s="269">
        <v>4</v>
      </c>
      <c r="P33" s="141" t="s">
        <v>119</v>
      </c>
    </row>
    <row r="34" spans="1:16" s="141" customFormat="1" ht="13.5" customHeight="1">
      <c r="A34" s="262" t="s">
        <v>138</v>
      </c>
      <c r="B34" s="262" t="s">
        <v>114</v>
      </c>
      <c r="C34" s="262" t="s">
        <v>115</v>
      </c>
      <c r="D34" s="263" t="s">
        <v>139</v>
      </c>
      <c r="E34" s="264" t="s">
        <v>140</v>
      </c>
      <c r="F34" s="262" t="s">
        <v>141</v>
      </c>
      <c r="G34" s="265">
        <v>35</v>
      </c>
      <c r="H34" s="387"/>
      <c r="I34" s="266">
        <f>ROUND(G34*H34,2)</f>
        <v>0</v>
      </c>
      <c r="J34" s="267">
        <v>0</v>
      </c>
      <c r="K34" s="265">
        <f>G34*J34</f>
        <v>0</v>
      </c>
      <c r="L34" s="267">
        <v>0</v>
      </c>
      <c r="M34" s="265">
        <f>G34*L34</f>
        <v>0</v>
      </c>
      <c r="N34" s="268">
        <v>21</v>
      </c>
      <c r="O34" s="269">
        <v>4</v>
      </c>
      <c r="P34" s="141" t="s">
        <v>119</v>
      </c>
    </row>
    <row r="35" spans="4:19" s="141" customFormat="1" ht="15.75" customHeight="1">
      <c r="D35" s="270"/>
      <c r="E35" s="271" t="s">
        <v>338</v>
      </c>
      <c r="G35" s="272"/>
      <c r="P35" s="270" t="s">
        <v>119</v>
      </c>
      <c r="Q35" s="270" t="s">
        <v>112</v>
      </c>
      <c r="R35" s="270" t="s">
        <v>309</v>
      </c>
      <c r="S35" s="270" t="s">
        <v>111</v>
      </c>
    </row>
    <row r="36" spans="4:19" s="141" customFormat="1" ht="15.75" customHeight="1">
      <c r="D36" s="273"/>
      <c r="E36" s="274" t="s">
        <v>339</v>
      </c>
      <c r="G36" s="275">
        <v>35</v>
      </c>
      <c r="P36" s="273" t="s">
        <v>119</v>
      </c>
      <c r="Q36" s="273" t="s">
        <v>119</v>
      </c>
      <c r="R36" s="273" t="s">
        <v>309</v>
      </c>
      <c r="S36" s="273" t="s">
        <v>112</v>
      </c>
    </row>
    <row r="37" spans="1:16" s="141" customFormat="1" ht="13.5" customHeight="1">
      <c r="A37" s="262" t="s">
        <v>142</v>
      </c>
      <c r="B37" s="262" t="s">
        <v>114</v>
      </c>
      <c r="C37" s="262" t="s">
        <v>115</v>
      </c>
      <c r="D37" s="263" t="s">
        <v>143</v>
      </c>
      <c r="E37" s="264" t="s">
        <v>144</v>
      </c>
      <c r="F37" s="262" t="s">
        <v>141</v>
      </c>
      <c r="G37" s="265">
        <v>700</v>
      </c>
      <c r="H37" s="387"/>
      <c r="I37" s="266">
        <f>ROUND(G37*H37,2)</f>
        <v>0</v>
      </c>
      <c r="J37" s="267">
        <v>0</v>
      </c>
      <c r="K37" s="265">
        <f>G37*J37</f>
        <v>0</v>
      </c>
      <c r="L37" s="267">
        <v>0</v>
      </c>
      <c r="M37" s="265">
        <f>G37*L37</f>
        <v>0</v>
      </c>
      <c r="N37" s="268">
        <v>21</v>
      </c>
      <c r="O37" s="269">
        <v>4</v>
      </c>
      <c r="P37" s="141" t="s">
        <v>119</v>
      </c>
    </row>
    <row r="38" spans="4:19" s="141" customFormat="1" ht="15.75" customHeight="1">
      <c r="D38" s="270"/>
      <c r="E38" s="271" t="s">
        <v>308</v>
      </c>
      <c r="G38" s="272"/>
      <c r="P38" s="270" t="s">
        <v>119</v>
      </c>
      <c r="Q38" s="270" t="s">
        <v>112</v>
      </c>
      <c r="R38" s="270" t="s">
        <v>309</v>
      </c>
      <c r="S38" s="270" t="s">
        <v>111</v>
      </c>
    </row>
    <row r="39" spans="4:19" s="141" customFormat="1" ht="15.75" customHeight="1">
      <c r="D39" s="273"/>
      <c r="E39" s="274" t="s">
        <v>340</v>
      </c>
      <c r="G39" s="275">
        <v>700</v>
      </c>
      <c r="P39" s="273" t="s">
        <v>119</v>
      </c>
      <c r="Q39" s="273" t="s">
        <v>119</v>
      </c>
      <c r="R39" s="273" t="s">
        <v>309</v>
      </c>
      <c r="S39" s="273" t="s">
        <v>112</v>
      </c>
    </row>
    <row r="40" spans="1:16" s="141" customFormat="1" ht="13.5" customHeight="1">
      <c r="A40" s="262" t="s">
        <v>145</v>
      </c>
      <c r="B40" s="262" t="s">
        <v>114</v>
      </c>
      <c r="C40" s="262" t="s">
        <v>115</v>
      </c>
      <c r="D40" s="263" t="s">
        <v>146</v>
      </c>
      <c r="E40" s="264" t="s">
        <v>147</v>
      </c>
      <c r="F40" s="262" t="s">
        <v>141</v>
      </c>
      <c r="G40" s="265">
        <v>700</v>
      </c>
      <c r="H40" s="387"/>
      <c r="I40" s="266">
        <f>ROUND(G40*H40,2)</f>
        <v>0</v>
      </c>
      <c r="J40" s="267">
        <v>0</v>
      </c>
      <c r="K40" s="265">
        <f>G40*J40</f>
        <v>0</v>
      </c>
      <c r="L40" s="267">
        <v>0</v>
      </c>
      <c r="M40" s="265">
        <f>G40*L40</f>
        <v>0</v>
      </c>
      <c r="N40" s="268">
        <v>21</v>
      </c>
      <c r="O40" s="269">
        <v>4</v>
      </c>
      <c r="P40" s="141" t="s">
        <v>119</v>
      </c>
    </row>
    <row r="41" spans="1:16" s="141" customFormat="1" ht="13.5" customHeight="1">
      <c r="A41" s="262" t="s">
        <v>148</v>
      </c>
      <c r="B41" s="262" t="s">
        <v>114</v>
      </c>
      <c r="C41" s="262" t="s">
        <v>115</v>
      </c>
      <c r="D41" s="263" t="s">
        <v>149</v>
      </c>
      <c r="E41" s="300" t="s">
        <v>150</v>
      </c>
      <c r="F41" s="262" t="s">
        <v>141</v>
      </c>
      <c r="G41" s="265">
        <f>G43</f>
        <v>11.2</v>
      </c>
      <c r="H41" s="387"/>
      <c r="I41" s="266">
        <f>ROUND(G41*H41,2)</f>
        <v>0</v>
      </c>
      <c r="J41" s="267">
        <v>0</v>
      </c>
      <c r="K41" s="265">
        <f>G41*J41</f>
        <v>0</v>
      </c>
      <c r="L41" s="267">
        <v>0</v>
      </c>
      <c r="M41" s="265">
        <f>G41*L41</f>
        <v>0</v>
      </c>
      <c r="N41" s="268">
        <v>21</v>
      </c>
      <c r="O41" s="269">
        <v>4</v>
      </c>
      <c r="P41" s="141" t="s">
        <v>119</v>
      </c>
    </row>
    <row r="42" spans="4:19" s="141" customFormat="1" ht="15.75" customHeight="1">
      <c r="D42" s="270"/>
      <c r="E42" s="271" t="s">
        <v>338</v>
      </c>
      <c r="G42" s="272"/>
      <c r="P42" s="270" t="s">
        <v>119</v>
      </c>
      <c r="Q42" s="270" t="s">
        <v>112</v>
      </c>
      <c r="R42" s="270" t="s">
        <v>309</v>
      </c>
      <c r="S42" s="270" t="s">
        <v>111</v>
      </c>
    </row>
    <row r="43" spans="4:19" s="141" customFormat="1" ht="15.75" customHeight="1">
      <c r="D43" s="273"/>
      <c r="E43" s="274" t="s">
        <v>353</v>
      </c>
      <c r="G43" s="299">
        <v>11.2</v>
      </c>
      <c r="P43" s="273" t="s">
        <v>119</v>
      </c>
      <c r="Q43" s="273" t="s">
        <v>119</v>
      </c>
      <c r="R43" s="273" t="s">
        <v>309</v>
      </c>
      <c r="S43" s="273" t="s">
        <v>112</v>
      </c>
    </row>
    <row r="44" spans="1:16" s="141" customFormat="1" ht="13.5" customHeight="1">
      <c r="A44" s="262" t="s">
        <v>151</v>
      </c>
      <c r="B44" s="262" t="s">
        <v>114</v>
      </c>
      <c r="C44" s="262" t="s">
        <v>115</v>
      </c>
      <c r="D44" s="263" t="s">
        <v>152</v>
      </c>
      <c r="E44" s="264" t="s">
        <v>153</v>
      </c>
      <c r="F44" s="262" t="s">
        <v>141</v>
      </c>
      <c r="G44" s="265">
        <f>G41</f>
        <v>11.2</v>
      </c>
      <c r="H44" s="387"/>
      <c r="I44" s="266">
        <f>ROUND(G44*H44,2)</f>
        <v>0</v>
      </c>
      <c r="J44" s="267">
        <v>0</v>
      </c>
      <c r="K44" s="265">
        <f>G44*J44</f>
        <v>0</v>
      </c>
      <c r="L44" s="267">
        <v>0</v>
      </c>
      <c r="M44" s="265">
        <f>G44*L44</f>
        <v>0</v>
      </c>
      <c r="N44" s="268">
        <v>21</v>
      </c>
      <c r="O44" s="269">
        <v>4</v>
      </c>
      <c r="P44" s="141" t="s">
        <v>119</v>
      </c>
    </row>
    <row r="45" spans="1:16" s="141" customFormat="1" ht="13.5" customHeight="1">
      <c r="A45" s="262" t="s">
        <v>154</v>
      </c>
      <c r="B45" s="262" t="s">
        <v>114</v>
      </c>
      <c r="C45" s="262" t="s">
        <v>115</v>
      </c>
      <c r="D45" s="263" t="s">
        <v>155</v>
      </c>
      <c r="E45" s="264" t="s">
        <v>156</v>
      </c>
      <c r="F45" s="262" t="s">
        <v>126</v>
      </c>
      <c r="G45" s="265">
        <f>G51</f>
        <v>257.205</v>
      </c>
      <c r="H45" s="387"/>
      <c r="I45" s="266">
        <f>ROUND(G45*H45,2)</f>
        <v>0</v>
      </c>
      <c r="J45" s="267">
        <v>0.0007</v>
      </c>
      <c r="K45" s="265">
        <f>G45*J45</f>
        <v>0.1800435</v>
      </c>
      <c r="L45" s="267">
        <v>0</v>
      </c>
      <c r="M45" s="265">
        <f>G45*L45</f>
        <v>0</v>
      </c>
      <c r="N45" s="268">
        <v>21</v>
      </c>
      <c r="O45" s="269">
        <v>4</v>
      </c>
      <c r="P45" s="141" t="s">
        <v>119</v>
      </c>
    </row>
    <row r="46" spans="4:19" s="141" customFormat="1" ht="15.75" customHeight="1">
      <c r="D46" s="270"/>
      <c r="E46" s="271" t="s">
        <v>338</v>
      </c>
      <c r="G46" s="272"/>
      <c r="P46" s="270" t="s">
        <v>119</v>
      </c>
      <c r="Q46" s="270" t="s">
        <v>112</v>
      </c>
      <c r="R46" s="270" t="s">
        <v>309</v>
      </c>
      <c r="S46" s="270" t="s">
        <v>111</v>
      </c>
    </row>
    <row r="47" spans="4:19" s="141" customFormat="1" ht="15.75" customHeight="1">
      <c r="D47" s="270"/>
      <c r="E47" s="271" t="s">
        <v>315</v>
      </c>
      <c r="G47" s="272"/>
      <c r="P47" s="270" t="s">
        <v>119</v>
      </c>
      <c r="Q47" s="270" t="s">
        <v>112</v>
      </c>
      <c r="R47" s="270" t="s">
        <v>309</v>
      </c>
      <c r="S47" s="270" t="s">
        <v>111</v>
      </c>
    </row>
    <row r="48" spans="4:19" s="141" customFormat="1" ht="15.75" customHeight="1">
      <c r="D48" s="273"/>
      <c r="E48" s="274" t="s">
        <v>341</v>
      </c>
      <c r="G48" s="275">
        <v>220.125</v>
      </c>
      <c r="P48" s="273" t="s">
        <v>119</v>
      </c>
      <c r="Q48" s="273" t="s">
        <v>119</v>
      </c>
      <c r="R48" s="273" t="s">
        <v>309</v>
      </c>
      <c r="S48" s="273" t="s">
        <v>111</v>
      </c>
    </row>
    <row r="49" spans="4:19" s="141" customFormat="1" ht="15.75" customHeight="1">
      <c r="D49" s="270"/>
      <c r="E49" s="271" t="s">
        <v>317</v>
      </c>
      <c r="G49" s="276"/>
      <c r="P49" s="270" t="s">
        <v>119</v>
      </c>
      <c r="Q49" s="270" t="s">
        <v>112</v>
      </c>
      <c r="R49" s="270" t="s">
        <v>309</v>
      </c>
      <c r="S49" s="270" t="s">
        <v>111</v>
      </c>
    </row>
    <row r="50" spans="4:19" s="141" customFormat="1" ht="15.75" customHeight="1">
      <c r="D50" s="273"/>
      <c r="E50" s="274" t="s">
        <v>354</v>
      </c>
      <c r="G50" s="299">
        <v>37.08</v>
      </c>
      <c r="P50" s="273" t="s">
        <v>119</v>
      </c>
      <c r="Q50" s="273" t="s">
        <v>119</v>
      </c>
      <c r="R50" s="273" t="s">
        <v>309</v>
      </c>
      <c r="S50" s="273" t="s">
        <v>111</v>
      </c>
    </row>
    <row r="51" spans="4:19" s="141" customFormat="1" ht="15.75" customHeight="1">
      <c r="D51" s="277"/>
      <c r="E51" s="278" t="s">
        <v>318</v>
      </c>
      <c r="G51" s="279">
        <f>G48+G50</f>
        <v>257.205</v>
      </c>
      <c r="P51" s="277" t="s">
        <v>119</v>
      </c>
      <c r="Q51" s="277" t="s">
        <v>127</v>
      </c>
      <c r="R51" s="277" t="s">
        <v>309</v>
      </c>
      <c r="S51" s="277" t="s">
        <v>112</v>
      </c>
    </row>
    <row r="52" spans="1:16" s="141" customFormat="1" ht="13.5" customHeight="1">
      <c r="A52" s="262" t="s">
        <v>157</v>
      </c>
      <c r="B52" s="262" t="s">
        <v>114</v>
      </c>
      <c r="C52" s="262" t="s">
        <v>115</v>
      </c>
      <c r="D52" s="263" t="s">
        <v>158</v>
      </c>
      <c r="E52" s="264" t="s">
        <v>159</v>
      </c>
      <c r="F52" s="262" t="s">
        <v>126</v>
      </c>
      <c r="G52" s="265">
        <f>G45</f>
        <v>257.205</v>
      </c>
      <c r="H52" s="387"/>
      <c r="I52" s="266">
        <f>ROUND(G52*H52,2)</f>
        <v>0</v>
      </c>
      <c r="J52" s="267">
        <v>0</v>
      </c>
      <c r="K52" s="265">
        <f>G52*J52</f>
        <v>0</v>
      </c>
      <c r="L52" s="267">
        <v>0</v>
      </c>
      <c r="M52" s="265">
        <f>G52*L52</f>
        <v>0</v>
      </c>
      <c r="N52" s="268">
        <v>21</v>
      </c>
      <c r="O52" s="269">
        <v>4</v>
      </c>
      <c r="P52" s="141" t="s">
        <v>119</v>
      </c>
    </row>
    <row r="53" spans="1:16" s="141" customFormat="1" ht="13.5" customHeight="1">
      <c r="A53" s="262" t="s">
        <v>160</v>
      </c>
      <c r="B53" s="262" t="s">
        <v>114</v>
      </c>
      <c r="C53" s="262" t="s">
        <v>115</v>
      </c>
      <c r="D53" s="263" t="s">
        <v>161</v>
      </c>
      <c r="E53" s="264" t="s">
        <v>162</v>
      </c>
      <c r="F53" s="262" t="s">
        <v>141</v>
      </c>
      <c r="G53" s="265">
        <v>700</v>
      </c>
      <c r="H53" s="387"/>
      <c r="I53" s="266">
        <f>ROUND(G53*H53,2)</f>
        <v>0</v>
      </c>
      <c r="J53" s="267">
        <v>0.00046</v>
      </c>
      <c r="K53" s="265">
        <f>G53*J53</f>
        <v>0.322</v>
      </c>
      <c r="L53" s="267">
        <v>0</v>
      </c>
      <c r="M53" s="265">
        <f>G53*L53</f>
        <v>0</v>
      </c>
      <c r="N53" s="268">
        <v>21</v>
      </c>
      <c r="O53" s="269">
        <v>4</v>
      </c>
      <c r="P53" s="141" t="s">
        <v>119</v>
      </c>
    </row>
    <row r="54" spans="4:19" s="141" customFormat="1" ht="15.75" customHeight="1">
      <c r="D54" s="270"/>
      <c r="E54" s="271" t="s">
        <v>338</v>
      </c>
      <c r="G54" s="272"/>
      <c r="P54" s="270" t="s">
        <v>119</v>
      </c>
      <c r="Q54" s="270" t="s">
        <v>112</v>
      </c>
      <c r="R54" s="270" t="s">
        <v>309</v>
      </c>
      <c r="S54" s="270" t="s">
        <v>111</v>
      </c>
    </row>
    <row r="55" spans="4:19" s="141" customFormat="1" ht="15.75" customHeight="1">
      <c r="D55" s="273"/>
      <c r="E55" s="274" t="s">
        <v>340</v>
      </c>
      <c r="G55" s="275">
        <v>700</v>
      </c>
      <c r="P55" s="273" t="s">
        <v>119</v>
      </c>
      <c r="Q55" s="273" t="s">
        <v>119</v>
      </c>
      <c r="R55" s="273" t="s">
        <v>309</v>
      </c>
      <c r="S55" s="273" t="s">
        <v>112</v>
      </c>
    </row>
    <row r="56" spans="1:16" s="141" customFormat="1" ht="13.5" customHeight="1">
      <c r="A56" s="262" t="s">
        <v>163</v>
      </c>
      <c r="B56" s="262" t="s">
        <v>114</v>
      </c>
      <c r="C56" s="262" t="s">
        <v>115</v>
      </c>
      <c r="D56" s="263" t="s">
        <v>164</v>
      </c>
      <c r="E56" s="264" t="s">
        <v>165</v>
      </c>
      <c r="F56" s="262" t="s">
        <v>141</v>
      </c>
      <c r="G56" s="265">
        <v>700</v>
      </c>
      <c r="H56" s="387"/>
      <c r="I56" s="266">
        <f>ROUND(G56*H56,2)</f>
        <v>0</v>
      </c>
      <c r="J56" s="267">
        <v>0</v>
      </c>
      <c r="K56" s="265">
        <f>G56*J56</f>
        <v>0</v>
      </c>
      <c r="L56" s="267">
        <v>0</v>
      </c>
      <c r="M56" s="265">
        <f>G56*L56</f>
        <v>0</v>
      </c>
      <c r="N56" s="268">
        <v>21</v>
      </c>
      <c r="O56" s="269">
        <v>4</v>
      </c>
      <c r="P56" s="141" t="s">
        <v>119</v>
      </c>
    </row>
    <row r="57" spans="1:16" s="141" customFormat="1" ht="13.5" customHeight="1">
      <c r="A57" s="262" t="s">
        <v>166</v>
      </c>
      <c r="B57" s="262" t="s">
        <v>114</v>
      </c>
      <c r="C57" s="262" t="s">
        <v>115</v>
      </c>
      <c r="D57" s="263" t="s">
        <v>167</v>
      </c>
      <c r="E57" s="264" t="s">
        <v>168</v>
      </c>
      <c r="F57" s="262" t="s">
        <v>126</v>
      </c>
      <c r="G57" s="265">
        <v>220.125</v>
      </c>
      <c r="H57" s="387"/>
      <c r="I57" s="266">
        <f>ROUND(G57*H57,2)</f>
        <v>0</v>
      </c>
      <c r="J57" s="267">
        <v>0.00079</v>
      </c>
      <c r="K57" s="265">
        <f>G57*J57</f>
        <v>0.17389875</v>
      </c>
      <c r="L57" s="267">
        <v>0</v>
      </c>
      <c r="M57" s="265">
        <f>G57*L57</f>
        <v>0</v>
      </c>
      <c r="N57" s="268">
        <v>21</v>
      </c>
      <c r="O57" s="269">
        <v>4</v>
      </c>
      <c r="P57" s="141" t="s">
        <v>119</v>
      </c>
    </row>
    <row r="58" spans="4:19" s="141" customFormat="1" ht="15.75" customHeight="1">
      <c r="D58" s="270"/>
      <c r="E58" s="271" t="s">
        <v>338</v>
      </c>
      <c r="G58" s="272"/>
      <c r="P58" s="270" t="s">
        <v>119</v>
      </c>
      <c r="Q58" s="270" t="s">
        <v>112</v>
      </c>
      <c r="R58" s="270" t="s">
        <v>309</v>
      </c>
      <c r="S58" s="270" t="s">
        <v>111</v>
      </c>
    </row>
    <row r="59" spans="4:19" s="141" customFormat="1" ht="15.75" customHeight="1">
      <c r="D59" s="270"/>
      <c r="E59" s="271" t="s">
        <v>315</v>
      </c>
      <c r="G59" s="272"/>
      <c r="P59" s="270" t="s">
        <v>119</v>
      </c>
      <c r="Q59" s="270" t="s">
        <v>112</v>
      </c>
      <c r="R59" s="270" t="s">
        <v>309</v>
      </c>
      <c r="S59" s="270" t="s">
        <v>111</v>
      </c>
    </row>
    <row r="60" spans="4:19" s="141" customFormat="1" ht="15.75" customHeight="1">
      <c r="D60" s="273"/>
      <c r="E60" s="274" t="s">
        <v>341</v>
      </c>
      <c r="G60" s="275">
        <v>220.125</v>
      </c>
      <c r="P60" s="273" t="s">
        <v>119</v>
      </c>
      <c r="Q60" s="273" t="s">
        <v>119</v>
      </c>
      <c r="R60" s="273" t="s">
        <v>309</v>
      </c>
      <c r="S60" s="273" t="s">
        <v>112</v>
      </c>
    </row>
    <row r="61" spans="1:16" s="141" customFormat="1" ht="13.5" customHeight="1">
      <c r="A61" s="262" t="s">
        <v>169</v>
      </c>
      <c r="B61" s="262" t="s">
        <v>114</v>
      </c>
      <c r="C61" s="262" t="s">
        <v>115</v>
      </c>
      <c r="D61" s="263" t="s">
        <v>170</v>
      </c>
      <c r="E61" s="264" t="s">
        <v>171</v>
      </c>
      <c r="F61" s="262" t="s">
        <v>126</v>
      </c>
      <c r="G61" s="265">
        <v>220.125</v>
      </c>
      <c r="H61" s="387"/>
      <c r="I61" s="266">
        <f>ROUND(G61*H61,2)</f>
        <v>0</v>
      </c>
      <c r="J61" s="267">
        <v>0</v>
      </c>
      <c r="K61" s="265">
        <f>G61*J61</f>
        <v>0</v>
      </c>
      <c r="L61" s="267">
        <v>0</v>
      </c>
      <c r="M61" s="265">
        <f>G61*L61</f>
        <v>0</v>
      </c>
      <c r="N61" s="268">
        <v>21</v>
      </c>
      <c r="O61" s="269">
        <v>4</v>
      </c>
      <c r="P61" s="141" t="s">
        <v>119</v>
      </c>
    </row>
    <row r="62" spans="1:16" s="141" customFormat="1" ht="13.5" customHeight="1">
      <c r="A62" s="262" t="s">
        <v>172</v>
      </c>
      <c r="B62" s="262" t="s">
        <v>114</v>
      </c>
      <c r="C62" s="262" t="s">
        <v>115</v>
      </c>
      <c r="D62" s="263" t="s">
        <v>173</v>
      </c>
      <c r="E62" s="264" t="s">
        <v>174</v>
      </c>
      <c r="F62" s="262" t="s">
        <v>118</v>
      </c>
      <c r="G62" s="265">
        <v>1</v>
      </c>
      <c r="H62" s="387"/>
      <c r="I62" s="266">
        <f>ROUND(G62*H62,2)</f>
        <v>0</v>
      </c>
      <c r="J62" s="267">
        <v>0</v>
      </c>
      <c r="K62" s="265">
        <f>G62*J62</f>
        <v>0</v>
      </c>
      <c r="L62" s="267">
        <v>0</v>
      </c>
      <c r="M62" s="265">
        <f>G62*L62</f>
        <v>0</v>
      </c>
      <c r="N62" s="268">
        <v>21</v>
      </c>
      <c r="O62" s="269">
        <v>4</v>
      </c>
      <c r="P62" s="141" t="s">
        <v>119</v>
      </c>
    </row>
    <row r="63" spans="4:19" s="141" customFormat="1" ht="15.75" customHeight="1">
      <c r="D63" s="270"/>
      <c r="E63" s="271" t="s">
        <v>338</v>
      </c>
      <c r="G63" s="272"/>
      <c r="P63" s="270" t="s">
        <v>119</v>
      </c>
      <c r="Q63" s="270" t="s">
        <v>112</v>
      </c>
      <c r="R63" s="270" t="s">
        <v>309</v>
      </c>
      <c r="S63" s="270" t="s">
        <v>111</v>
      </c>
    </row>
    <row r="64" spans="4:19" s="141" customFormat="1" ht="15.75" customHeight="1">
      <c r="D64" s="273"/>
      <c r="E64" s="274" t="s">
        <v>112</v>
      </c>
      <c r="G64" s="275">
        <v>1</v>
      </c>
      <c r="P64" s="273" t="s">
        <v>119</v>
      </c>
      <c r="Q64" s="273" t="s">
        <v>119</v>
      </c>
      <c r="R64" s="273" t="s">
        <v>309</v>
      </c>
      <c r="S64" s="273" t="s">
        <v>112</v>
      </c>
    </row>
    <row r="65" spans="1:16" s="141" customFormat="1" ht="13.5" customHeight="1">
      <c r="A65" s="262" t="s">
        <v>175</v>
      </c>
      <c r="B65" s="262" t="s">
        <v>114</v>
      </c>
      <c r="C65" s="262" t="s">
        <v>115</v>
      </c>
      <c r="D65" s="263" t="s">
        <v>176</v>
      </c>
      <c r="E65" s="264" t="s">
        <v>177</v>
      </c>
      <c r="F65" s="262" t="s">
        <v>118</v>
      </c>
      <c r="G65" s="265">
        <v>1</v>
      </c>
      <c r="H65" s="387"/>
      <c r="I65" s="266">
        <f>ROUND(G65*H65,2)</f>
        <v>0</v>
      </c>
      <c r="J65" s="267">
        <v>0</v>
      </c>
      <c r="K65" s="265">
        <f>G65*J65</f>
        <v>0</v>
      </c>
      <c r="L65" s="267">
        <v>0</v>
      </c>
      <c r="M65" s="265">
        <f>G65*L65</f>
        <v>0</v>
      </c>
      <c r="N65" s="268">
        <v>21</v>
      </c>
      <c r="O65" s="269">
        <v>4</v>
      </c>
      <c r="P65" s="141" t="s">
        <v>119</v>
      </c>
    </row>
    <row r="66" spans="4:19" s="141" customFormat="1" ht="15.75" customHeight="1">
      <c r="D66" s="270"/>
      <c r="E66" s="271" t="s">
        <v>338</v>
      </c>
      <c r="G66" s="272"/>
      <c r="P66" s="270" t="s">
        <v>119</v>
      </c>
      <c r="Q66" s="270" t="s">
        <v>112</v>
      </c>
      <c r="R66" s="270" t="s">
        <v>309</v>
      </c>
      <c r="S66" s="270" t="s">
        <v>111</v>
      </c>
    </row>
    <row r="67" spans="4:19" s="141" customFormat="1" ht="15.75" customHeight="1">
      <c r="D67" s="273"/>
      <c r="E67" s="274" t="s">
        <v>112</v>
      </c>
      <c r="G67" s="275">
        <v>1</v>
      </c>
      <c r="P67" s="273" t="s">
        <v>119</v>
      </c>
      <c r="Q67" s="273" t="s">
        <v>119</v>
      </c>
      <c r="R67" s="273" t="s">
        <v>309</v>
      </c>
      <c r="S67" s="273" t="s">
        <v>112</v>
      </c>
    </row>
    <row r="68" spans="1:16" s="141" customFormat="1" ht="13.5" customHeight="1">
      <c r="A68" s="262" t="s">
        <v>178</v>
      </c>
      <c r="B68" s="262" t="s">
        <v>114</v>
      </c>
      <c r="C68" s="262" t="s">
        <v>115</v>
      </c>
      <c r="D68" s="263" t="s">
        <v>179</v>
      </c>
      <c r="E68" s="264" t="s">
        <v>180</v>
      </c>
      <c r="F68" s="262" t="s">
        <v>118</v>
      </c>
      <c r="G68" s="265">
        <v>1</v>
      </c>
      <c r="H68" s="387"/>
      <c r="I68" s="266">
        <f>ROUND(G68*H68,2)</f>
        <v>0</v>
      </c>
      <c r="J68" s="267">
        <v>0</v>
      </c>
      <c r="K68" s="265">
        <f>G68*J68</f>
        <v>0</v>
      </c>
      <c r="L68" s="267">
        <v>0</v>
      </c>
      <c r="M68" s="265">
        <f>G68*L68</f>
        <v>0</v>
      </c>
      <c r="N68" s="268">
        <v>21</v>
      </c>
      <c r="O68" s="269">
        <v>4</v>
      </c>
      <c r="P68" s="141" t="s">
        <v>119</v>
      </c>
    </row>
    <row r="69" spans="4:19" s="141" customFormat="1" ht="15.75" customHeight="1">
      <c r="D69" s="270"/>
      <c r="E69" s="271" t="s">
        <v>338</v>
      </c>
      <c r="G69" s="272"/>
      <c r="P69" s="270" t="s">
        <v>119</v>
      </c>
      <c r="Q69" s="270" t="s">
        <v>112</v>
      </c>
      <c r="R69" s="270" t="s">
        <v>309</v>
      </c>
      <c r="S69" s="270" t="s">
        <v>111</v>
      </c>
    </row>
    <row r="70" spans="4:19" s="141" customFormat="1" ht="15.75" customHeight="1">
      <c r="D70" s="273"/>
      <c r="E70" s="274" t="s">
        <v>112</v>
      </c>
      <c r="G70" s="275">
        <v>1</v>
      </c>
      <c r="P70" s="273" t="s">
        <v>119</v>
      </c>
      <c r="Q70" s="273" t="s">
        <v>119</v>
      </c>
      <c r="R70" s="273" t="s">
        <v>309</v>
      </c>
      <c r="S70" s="273" t="s">
        <v>112</v>
      </c>
    </row>
    <row r="71" spans="1:16" s="141" customFormat="1" ht="13.5" customHeight="1">
      <c r="A71" s="262" t="s">
        <v>181</v>
      </c>
      <c r="B71" s="262" t="s">
        <v>114</v>
      </c>
      <c r="C71" s="262" t="s">
        <v>115</v>
      </c>
      <c r="D71" s="263" t="s">
        <v>182</v>
      </c>
      <c r="E71" s="264" t="s">
        <v>183</v>
      </c>
      <c r="F71" s="262" t="s">
        <v>141</v>
      </c>
      <c r="G71" s="265">
        <v>770</v>
      </c>
      <c r="H71" s="387"/>
      <c r="I71" s="266">
        <f>ROUND(G71*H71,2)</f>
        <v>0</v>
      </c>
      <c r="J71" s="267">
        <v>0</v>
      </c>
      <c r="K71" s="265">
        <f>G71*J71</f>
        <v>0</v>
      </c>
      <c r="L71" s="267">
        <v>0</v>
      </c>
      <c r="M71" s="265">
        <f>G71*L71</f>
        <v>0</v>
      </c>
      <c r="N71" s="268">
        <v>21</v>
      </c>
      <c r="O71" s="269">
        <v>4</v>
      </c>
      <c r="P71" s="141" t="s">
        <v>119</v>
      </c>
    </row>
    <row r="72" spans="4:19" s="141" customFormat="1" ht="15.75" customHeight="1">
      <c r="D72" s="270"/>
      <c r="E72" s="271" t="s">
        <v>338</v>
      </c>
      <c r="G72" s="272"/>
      <c r="P72" s="270" t="s">
        <v>119</v>
      </c>
      <c r="Q72" s="270" t="s">
        <v>112</v>
      </c>
      <c r="R72" s="270" t="s">
        <v>309</v>
      </c>
      <c r="S72" s="270" t="s">
        <v>111</v>
      </c>
    </row>
    <row r="73" spans="4:19" s="141" customFormat="1" ht="15.75" customHeight="1">
      <c r="D73" s="270"/>
      <c r="E73" s="271" t="s">
        <v>319</v>
      </c>
      <c r="G73" s="272"/>
      <c r="P73" s="270" t="s">
        <v>119</v>
      </c>
      <c r="Q73" s="270" t="s">
        <v>112</v>
      </c>
      <c r="R73" s="270" t="s">
        <v>309</v>
      </c>
      <c r="S73" s="270" t="s">
        <v>111</v>
      </c>
    </row>
    <row r="74" spans="4:19" s="141" customFormat="1" ht="15.75" customHeight="1">
      <c r="D74" s="273"/>
      <c r="E74" s="274" t="s">
        <v>342</v>
      </c>
      <c r="G74" s="275">
        <v>35</v>
      </c>
      <c r="P74" s="273" t="s">
        <v>119</v>
      </c>
      <c r="Q74" s="273" t="s">
        <v>119</v>
      </c>
      <c r="R74" s="273" t="s">
        <v>309</v>
      </c>
      <c r="S74" s="273" t="s">
        <v>111</v>
      </c>
    </row>
    <row r="75" spans="4:19" s="141" customFormat="1" ht="15.75" customHeight="1">
      <c r="D75" s="270"/>
      <c r="E75" s="271" t="s">
        <v>321</v>
      </c>
      <c r="G75" s="276"/>
      <c r="P75" s="270" t="s">
        <v>119</v>
      </c>
      <c r="Q75" s="270" t="s">
        <v>112</v>
      </c>
      <c r="R75" s="270" t="s">
        <v>309</v>
      </c>
      <c r="S75" s="270" t="s">
        <v>111</v>
      </c>
    </row>
    <row r="76" spans="4:19" s="141" customFormat="1" ht="15.75" customHeight="1">
      <c r="D76" s="273"/>
      <c r="E76" s="274" t="s">
        <v>342</v>
      </c>
      <c r="G76" s="275">
        <v>35</v>
      </c>
      <c r="P76" s="273" t="s">
        <v>119</v>
      </c>
      <c r="Q76" s="273" t="s">
        <v>119</v>
      </c>
      <c r="R76" s="273" t="s">
        <v>309</v>
      </c>
      <c r="S76" s="273" t="s">
        <v>111</v>
      </c>
    </row>
    <row r="77" spans="4:19" s="141" customFormat="1" ht="15.75" customHeight="1">
      <c r="D77" s="270"/>
      <c r="E77" s="271" t="s">
        <v>322</v>
      </c>
      <c r="G77" s="276"/>
      <c r="P77" s="270" t="s">
        <v>119</v>
      </c>
      <c r="Q77" s="270" t="s">
        <v>112</v>
      </c>
      <c r="R77" s="270" t="s">
        <v>309</v>
      </c>
      <c r="S77" s="270" t="s">
        <v>111</v>
      </c>
    </row>
    <row r="78" spans="4:19" s="141" customFormat="1" ht="15.75" customHeight="1">
      <c r="D78" s="273"/>
      <c r="E78" s="274" t="s">
        <v>343</v>
      </c>
      <c r="G78" s="275">
        <v>350</v>
      </c>
      <c r="P78" s="273" t="s">
        <v>119</v>
      </c>
      <c r="Q78" s="273" t="s">
        <v>119</v>
      </c>
      <c r="R78" s="273" t="s">
        <v>309</v>
      </c>
      <c r="S78" s="273" t="s">
        <v>111</v>
      </c>
    </row>
    <row r="79" spans="4:19" s="141" customFormat="1" ht="15.75" customHeight="1">
      <c r="D79" s="270"/>
      <c r="E79" s="271" t="s">
        <v>324</v>
      </c>
      <c r="G79" s="276"/>
      <c r="P79" s="270" t="s">
        <v>119</v>
      </c>
      <c r="Q79" s="270" t="s">
        <v>112</v>
      </c>
      <c r="R79" s="270" t="s">
        <v>309</v>
      </c>
      <c r="S79" s="270" t="s">
        <v>111</v>
      </c>
    </row>
    <row r="80" spans="4:19" s="141" customFormat="1" ht="15.75" customHeight="1">
      <c r="D80" s="273"/>
      <c r="E80" s="274" t="s">
        <v>343</v>
      </c>
      <c r="G80" s="275">
        <v>350</v>
      </c>
      <c r="P80" s="273" t="s">
        <v>119</v>
      </c>
      <c r="Q80" s="273" t="s">
        <v>119</v>
      </c>
      <c r="R80" s="273" t="s">
        <v>309</v>
      </c>
      <c r="S80" s="273" t="s">
        <v>111</v>
      </c>
    </row>
    <row r="81" spans="4:19" s="141" customFormat="1" ht="15.75" customHeight="1">
      <c r="D81" s="277"/>
      <c r="E81" s="278" t="s">
        <v>318</v>
      </c>
      <c r="G81" s="279">
        <v>770</v>
      </c>
      <c r="P81" s="277" t="s">
        <v>119</v>
      </c>
      <c r="Q81" s="277" t="s">
        <v>127</v>
      </c>
      <c r="R81" s="277" t="s">
        <v>309</v>
      </c>
      <c r="S81" s="277" t="s">
        <v>112</v>
      </c>
    </row>
    <row r="82" spans="1:16" s="141" customFormat="1" ht="13.5" customHeight="1">
      <c r="A82" s="262" t="s">
        <v>184</v>
      </c>
      <c r="B82" s="262" t="s">
        <v>114</v>
      </c>
      <c r="C82" s="262" t="s">
        <v>115</v>
      </c>
      <c r="D82" s="263" t="s">
        <v>185</v>
      </c>
      <c r="E82" s="264" t="s">
        <v>186</v>
      </c>
      <c r="F82" s="262" t="s">
        <v>141</v>
      </c>
      <c r="G82" s="265">
        <v>350</v>
      </c>
      <c r="H82" s="387"/>
      <c r="I82" s="266">
        <f>ROUND(G82*H82,2)</f>
        <v>0</v>
      </c>
      <c r="J82" s="267">
        <v>0</v>
      </c>
      <c r="K82" s="265">
        <f>G82*J82</f>
        <v>0</v>
      </c>
      <c r="L82" s="267">
        <v>0</v>
      </c>
      <c r="M82" s="265">
        <f>G82*L82</f>
        <v>0</v>
      </c>
      <c r="N82" s="268">
        <v>21</v>
      </c>
      <c r="O82" s="269">
        <v>4</v>
      </c>
      <c r="P82" s="141" t="s">
        <v>119</v>
      </c>
    </row>
    <row r="83" spans="4:19" s="141" customFormat="1" ht="15.75" customHeight="1">
      <c r="D83" s="270"/>
      <c r="E83" s="271" t="s">
        <v>338</v>
      </c>
      <c r="G83" s="272"/>
      <c r="P83" s="270" t="s">
        <v>119</v>
      </c>
      <c r="Q83" s="270" t="s">
        <v>112</v>
      </c>
      <c r="R83" s="270" t="s">
        <v>309</v>
      </c>
      <c r="S83" s="270" t="s">
        <v>111</v>
      </c>
    </row>
    <row r="84" spans="4:19" s="141" customFormat="1" ht="15.75" customHeight="1">
      <c r="D84" s="270"/>
      <c r="E84" s="271" t="s">
        <v>325</v>
      </c>
      <c r="G84" s="272"/>
      <c r="P84" s="270" t="s">
        <v>119</v>
      </c>
      <c r="Q84" s="270" t="s">
        <v>112</v>
      </c>
      <c r="R84" s="270" t="s">
        <v>309</v>
      </c>
      <c r="S84" s="270" t="s">
        <v>111</v>
      </c>
    </row>
    <row r="85" spans="4:19" s="141" customFormat="1" ht="15.75" customHeight="1">
      <c r="D85" s="273"/>
      <c r="E85" s="274" t="s">
        <v>343</v>
      </c>
      <c r="G85" s="275">
        <v>350</v>
      </c>
      <c r="P85" s="273" t="s">
        <v>119</v>
      </c>
      <c r="Q85" s="273" t="s">
        <v>119</v>
      </c>
      <c r="R85" s="273" t="s">
        <v>309</v>
      </c>
      <c r="S85" s="273" t="s">
        <v>112</v>
      </c>
    </row>
    <row r="86" spans="1:16" s="141" customFormat="1" ht="13.5" customHeight="1">
      <c r="A86" s="262" t="s">
        <v>187</v>
      </c>
      <c r="B86" s="262" t="s">
        <v>114</v>
      </c>
      <c r="C86" s="262" t="s">
        <v>188</v>
      </c>
      <c r="D86" s="263" t="s">
        <v>189</v>
      </c>
      <c r="E86" s="264" t="s">
        <v>190</v>
      </c>
      <c r="F86" s="262" t="s">
        <v>141</v>
      </c>
      <c r="G86" s="265">
        <v>350</v>
      </c>
      <c r="H86" s="387"/>
      <c r="I86" s="266">
        <f>ROUND(G86*H86,2)</f>
        <v>0</v>
      </c>
      <c r="J86" s="267">
        <v>0</v>
      </c>
      <c r="K86" s="265">
        <f>G86*J86</f>
        <v>0</v>
      </c>
      <c r="L86" s="267">
        <v>0</v>
      </c>
      <c r="M86" s="265">
        <f>G86*L86</f>
        <v>0</v>
      </c>
      <c r="N86" s="268">
        <v>21</v>
      </c>
      <c r="O86" s="269">
        <v>4</v>
      </c>
      <c r="P86" s="141" t="s">
        <v>119</v>
      </c>
    </row>
    <row r="87" spans="4:19" s="141" customFormat="1" ht="15.75" customHeight="1">
      <c r="D87" s="270"/>
      <c r="E87" s="271" t="s">
        <v>338</v>
      </c>
      <c r="G87" s="272"/>
      <c r="P87" s="270" t="s">
        <v>119</v>
      </c>
      <c r="Q87" s="270" t="s">
        <v>112</v>
      </c>
      <c r="R87" s="270" t="s">
        <v>309</v>
      </c>
      <c r="S87" s="270" t="s">
        <v>111</v>
      </c>
    </row>
    <row r="88" spans="4:19" s="141" customFormat="1" ht="15.75" customHeight="1">
      <c r="D88" s="270"/>
      <c r="E88" s="271" t="s">
        <v>327</v>
      </c>
      <c r="G88" s="272"/>
      <c r="P88" s="270" t="s">
        <v>119</v>
      </c>
      <c r="Q88" s="270" t="s">
        <v>112</v>
      </c>
      <c r="R88" s="270" t="s">
        <v>309</v>
      </c>
      <c r="S88" s="270" t="s">
        <v>111</v>
      </c>
    </row>
    <row r="89" spans="4:19" s="141" customFormat="1" ht="15.75" customHeight="1">
      <c r="D89" s="273"/>
      <c r="E89" s="274" t="s">
        <v>343</v>
      </c>
      <c r="G89" s="275">
        <v>350</v>
      </c>
      <c r="P89" s="273" t="s">
        <v>119</v>
      </c>
      <c r="Q89" s="273" t="s">
        <v>119</v>
      </c>
      <c r="R89" s="273" t="s">
        <v>309</v>
      </c>
      <c r="S89" s="273" t="s">
        <v>112</v>
      </c>
    </row>
    <row r="90" spans="1:16" s="141" customFormat="1" ht="13.5" customHeight="1">
      <c r="A90" s="262" t="s">
        <v>191</v>
      </c>
      <c r="B90" s="262" t="s">
        <v>114</v>
      </c>
      <c r="C90" s="262" t="s">
        <v>115</v>
      </c>
      <c r="D90" s="263" t="s">
        <v>192</v>
      </c>
      <c r="E90" s="264" t="s">
        <v>193</v>
      </c>
      <c r="F90" s="262" t="s">
        <v>141</v>
      </c>
      <c r="G90" s="265">
        <v>385</v>
      </c>
      <c r="H90" s="387"/>
      <c r="I90" s="266">
        <f>ROUND(G90*H90,2)</f>
        <v>0</v>
      </c>
      <c r="J90" s="267">
        <v>0</v>
      </c>
      <c r="K90" s="265">
        <f>G90*J90</f>
        <v>0</v>
      </c>
      <c r="L90" s="267">
        <v>0</v>
      </c>
      <c r="M90" s="265">
        <f>G90*L90</f>
        <v>0</v>
      </c>
      <c r="N90" s="268">
        <v>21</v>
      </c>
      <c r="O90" s="269">
        <v>4</v>
      </c>
      <c r="P90" s="141" t="s">
        <v>119</v>
      </c>
    </row>
    <row r="91" spans="4:19" s="141" customFormat="1" ht="15.75" customHeight="1">
      <c r="D91" s="270"/>
      <c r="E91" s="271" t="s">
        <v>338</v>
      </c>
      <c r="G91" s="272"/>
      <c r="P91" s="270" t="s">
        <v>119</v>
      </c>
      <c r="Q91" s="270" t="s">
        <v>112</v>
      </c>
      <c r="R91" s="270" t="s">
        <v>309</v>
      </c>
      <c r="S91" s="270" t="s">
        <v>111</v>
      </c>
    </row>
    <row r="92" spans="4:19" s="141" customFormat="1" ht="15.75" customHeight="1">
      <c r="D92" s="270"/>
      <c r="E92" s="271" t="s">
        <v>328</v>
      </c>
      <c r="G92" s="272"/>
      <c r="P92" s="270" t="s">
        <v>119</v>
      </c>
      <c r="Q92" s="270" t="s">
        <v>112</v>
      </c>
      <c r="R92" s="270" t="s">
        <v>309</v>
      </c>
      <c r="S92" s="270" t="s">
        <v>111</v>
      </c>
    </row>
    <row r="93" spans="4:19" s="141" customFormat="1" ht="15.75" customHeight="1">
      <c r="D93" s="270"/>
      <c r="E93" s="271" t="s">
        <v>329</v>
      </c>
      <c r="G93" s="272"/>
      <c r="P93" s="270" t="s">
        <v>119</v>
      </c>
      <c r="Q93" s="270" t="s">
        <v>112</v>
      </c>
      <c r="R93" s="270" t="s">
        <v>309</v>
      </c>
      <c r="S93" s="270" t="s">
        <v>111</v>
      </c>
    </row>
    <row r="94" spans="4:19" s="141" customFormat="1" ht="15.75" customHeight="1">
      <c r="D94" s="273"/>
      <c r="E94" s="274" t="s">
        <v>342</v>
      </c>
      <c r="G94" s="275">
        <v>35</v>
      </c>
      <c r="P94" s="273" t="s">
        <v>119</v>
      </c>
      <c r="Q94" s="273" t="s">
        <v>119</v>
      </c>
      <c r="R94" s="273" t="s">
        <v>309</v>
      </c>
      <c r="S94" s="273" t="s">
        <v>111</v>
      </c>
    </row>
    <row r="95" spans="4:19" s="141" customFormat="1" ht="15.75" customHeight="1">
      <c r="D95" s="270"/>
      <c r="E95" s="271" t="s">
        <v>325</v>
      </c>
      <c r="G95" s="276"/>
      <c r="P95" s="270" t="s">
        <v>119</v>
      </c>
      <c r="Q95" s="270" t="s">
        <v>112</v>
      </c>
      <c r="R95" s="270" t="s">
        <v>309</v>
      </c>
      <c r="S95" s="270" t="s">
        <v>111</v>
      </c>
    </row>
    <row r="96" spans="4:19" s="141" customFormat="1" ht="15.75" customHeight="1">
      <c r="D96" s="273"/>
      <c r="E96" s="274" t="s">
        <v>343</v>
      </c>
      <c r="G96" s="275">
        <v>350</v>
      </c>
      <c r="P96" s="273" t="s">
        <v>119</v>
      </c>
      <c r="Q96" s="273" t="s">
        <v>119</v>
      </c>
      <c r="R96" s="273" t="s">
        <v>309</v>
      </c>
      <c r="S96" s="273" t="s">
        <v>111</v>
      </c>
    </row>
    <row r="97" spans="4:19" s="141" customFormat="1" ht="15.75" customHeight="1">
      <c r="D97" s="277"/>
      <c r="E97" s="278" t="s">
        <v>318</v>
      </c>
      <c r="G97" s="279">
        <v>385</v>
      </c>
      <c r="P97" s="277" t="s">
        <v>119</v>
      </c>
      <c r="Q97" s="277" t="s">
        <v>127</v>
      </c>
      <c r="R97" s="277" t="s">
        <v>309</v>
      </c>
      <c r="S97" s="277" t="s">
        <v>112</v>
      </c>
    </row>
    <row r="98" spans="1:16" s="141" customFormat="1" ht="13.5" customHeight="1">
      <c r="A98" s="262" t="s">
        <v>194</v>
      </c>
      <c r="B98" s="262" t="s">
        <v>114</v>
      </c>
      <c r="C98" s="262" t="s">
        <v>115</v>
      </c>
      <c r="D98" s="263" t="s">
        <v>195</v>
      </c>
      <c r="E98" s="264" t="s">
        <v>196</v>
      </c>
      <c r="F98" s="262" t="s">
        <v>141</v>
      </c>
      <c r="G98" s="265">
        <v>385</v>
      </c>
      <c r="H98" s="387"/>
      <c r="I98" s="266">
        <f>ROUND(G98*H98,2)</f>
        <v>0</v>
      </c>
      <c r="J98" s="267">
        <v>0</v>
      </c>
      <c r="K98" s="265">
        <f>G98*J98</f>
        <v>0</v>
      </c>
      <c r="L98" s="267">
        <v>0</v>
      </c>
      <c r="M98" s="265">
        <f>G98*L98</f>
        <v>0</v>
      </c>
      <c r="N98" s="268">
        <v>21</v>
      </c>
      <c r="O98" s="269">
        <v>4</v>
      </c>
      <c r="P98" s="141" t="s">
        <v>119</v>
      </c>
    </row>
    <row r="99" spans="4:19" s="141" customFormat="1" ht="15.75" customHeight="1">
      <c r="D99" s="270"/>
      <c r="E99" s="271" t="s">
        <v>338</v>
      </c>
      <c r="G99" s="272"/>
      <c r="P99" s="270" t="s">
        <v>119</v>
      </c>
      <c r="Q99" s="270" t="s">
        <v>112</v>
      </c>
      <c r="R99" s="270" t="s">
        <v>309</v>
      </c>
      <c r="S99" s="270" t="s">
        <v>111</v>
      </c>
    </row>
    <row r="100" spans="4:19" s="141" customFormat="1" ht="15.75" customHeight="1">
      <c r="D100" s="270"/>
      <c r="E100" s="271" t="s">
        <v>328</v>
      </c>
      <c r="G100" s="272"/>
      <c r="P100" s="270" t="s">
        <v>119</v>
      </c>
      <c r="Q100" s="270" t="s">
        <v>112</v>
      </c>
      <c r="R100" s="270" t="s">
        <v>309</v>
      </c>
      <c r="S100" s="270" t="s">
        <v>111</v>
      </c>
    </row>
    <row r="101" spans="4:19" s="141" customFormat="1" ht="15.75" customHeight="1">
      <c r="D101" s="270"/>
      <c r="E101" s="271" t="s">
        <v>329</v>
      </c>
      <c r="G101" s="272"/>
      <c r="P101" s="270" t="s">
        <v>119</v>
      </c>
      <c r="Q101" s="270" t="s">
        <v>112</v>
      </c>
      <c r="R101" s="270" t="s">
        <v>309</v>
      </c>
      <c r="S101" s="270" t="s">
        <v>111</v>
      </c>
    </row>
    <row r="102" spans="4:19" s="141" customFormat="1" ht="15.75" customHeight="1">
      <c r="D102" s="273"/>
      <c r="E102" s="274" t="s">
        <v>342</v>
      </c>
      <c r="G102" s="275">
        <v>35</v>
      </c>
      <c r="P102" s="273" t="s">
        <v>119</v>
      </c>
      <c r="Q102" s="273" t="s">
        <v>119</v>
      </c>
      <c r="R102" s="273" t="s">
        <v>309</v>
      </c>
      <c r="S102" s="273" t="s">
        <v>111</v>
      </c>
    </row>
    <row r="103" spans="4:19" s="141" customFormat="1" ht="15.75" customHeight="1">
      <c r="D103" s="270"/>
      <c r="E103" s="271" t="s">
        <v>325</v>
      </c>
      <c r="G103" s="276"/>
      <c r="P103" s="270" t="s">
        <v>119</v>
      </c>
      <c r="Q103" s="270" t="s">
        <v>112</v>
      </c>
      <c r="R103" s="270" t="s">
        <v>309</v>
      </c>
      <c r="S103" s="270" t="s">
        <v>111</v>
      </c>
    </row>
    <row r="104" spans="4:19" s="141" customFormat="1" ht="15.75" customHeight="1">
      <c r="D104" s="273"/>
      <c r="E104" s="274" t="s">
        <v>343</v>
      </c>
      <c r="G104" s="275">
        <v>350</v>
      </c>
      <c r="P104" s="273" t="s">
        <v>119</v>
      </c>
      <c r="Q104" s="273" t="s">
        <v>119</v>
      </c>
      <c r="R104" s="273" t="s">
        <v>309</v>
      </c>
      <c r="S104" s="273" t="s">
        <v>111</v>
      </c>
    </row>
    <row r="105" spans="4:19" s="141" customFormat="1" ht="15.75" customHeight="1">
      <c r="D105" s="277"/>
      <c r="E105" s="278" t="s">
        <v>318</v>
      </c>
      <c r="G105" s="279">
        <v>385</v>
      </c>
      <c r="P105" s="277" t="s">
        <v>119</v>
      </c>
      <c r="Q105" s="277" t="s">
        <v>127</v>
      </c>
      <c r="R105" s="277" t="s">
        <v>309</v>
      </c>
      <c r="S105" s="277" t="s">
        <v>112</v>
      </c>
    </row>
    <row r="106" spans="1:16" s="141" customFormat="1" ht="13.5" customHeight="1">
      <c r="A106" s="262" t="s">
        <v>197</v>
      </c>
      <c r="B106" s="262" t="s">
        <v>114</v>
      </c>
      <c r="C106" s="262" t="s">
        <v>115</v>
      </c>
      <c r="D106" s="263" t="s">
        <v>198</v>
      </c>
      <c r="E106" s="264" t="s">
        <v>199</v>
      </c>
      <c r="F106" s="262" t="s">
        <v>141</v>
      </c>
      <c r="G106" s="265">
        <v>688.8</v>
      </c>
      <c r="H106" s="387"/>
      <c r="I106" s="266">
        <f>ROUND(G106*H106,2)</f>
        <v>0</v>
      </c>
      <c r="J106" s="267">
        <v>0</v>
      </c>
      <c r="K106" s="265">
        <f>G106*J106</f>
        <v>0</v>
      </c>
      <c r="L106" s="267">
        <v>0</v>
      </c>
      <c r="M106" s="265">
        <f>G106*L106</f>
        <v>0</v>
      </c>
      <c r="N106" s="268">
        <v>21</v>
      </c>
      <c r="O106" s="269">
        <v>4</v>
      </c>
      <c r="P106" s="141" t="s">
        <v>119</v>
      </c>
    </row>
    <row r="107" spans="4:19" s="141" customFormat="1" ht="15.75" customHeight="1">
      <c r="D107" s="270"/>
      <c r="E107" s="271" t="s">
        <v>308</v>
      </c>
      <c r="G107" s="272"/>
      <c r="P107" s="270" t="s">
        <v>119</v>
      </c>
      <c r="Q107" s="270" t="s">
        <v>112</v>
      </c>
      <c r="R107" s="270" t="s">
        <v>309</v>
      </c>
      <c r="S107" s="270" t="s">
        <v>111</v>
      </c>
    </row>
    <row r="108" spans="4:19" s="141" customFormat="1" ht="15.75" customHeight="1">
      <c r="D108" s="273"/>
      <c r="E108" s="274" t="s">
        <v>340</v>
      </c>
      <c r="G108" s="275">
        <v>700</v>
      </c>
      <c r="P108" s="273" t="s">
        <v>119</v>
      </c>
      <c r="Q108" s="273" t="s">
        <v>119</v>
      </c>
      <c r="R108" s="273" t="s">
        <v>309</v>
      </c>
      <c r="S108" s="273" t="s">
        <v>111</v>
      </c>
    </row>
    <row r="109" spans="4:19" s="141" customFormat="1" ht="15.75" customHeight="1">
      <c r="D109" s="270"/>
      <c r="E109" s="271" t="s">
        <v>330</v>
      </c>
      <c r="G109" s="276"/>
      <c r="P109" s="270" t="s">
        <v>119</v>
      </c>
      <c r="Q109" s="270" t="s">
        <v>112</v>
      </c>
      <c r="R109" s="270" t="s">
        <v>309</v>
      </c>
      <c r="S109" s="270" t="s">
        <v>111</v>
      </c>
    </row>
    <row r="110" spans="4:19" s="141" customFormat="1" ht="15.75" customHeight="1">
      <c r="D110" s="273"/>
      <c r="E110" s="274" t="s">
        <v>344</v>
      </c>
      <c r="G110" s="299">
        <v>-11.2</v>
      </c>
      <c r="P110" s="273" t="s">
        <v>119</v>
      </c>
      <c r="Q110" s="273" t="s">
        <v>119</v>
      </c>
      <c r="R110" s="273" t="s">
        <v>309</v>
      </c>
      <c r="S110" s="273" t="s">
        <v>111</v>
      </c>
    </row>
    <row r="111" spans="4:19" s="141" customFormat="1" ht="15.75" customHeight="1">
      <c r="D111" s="277"/>
      <c r="E111" s="278" t="s">
        <v>318</v>
      </c>
      <c r="G111" s="279">
        <v>688.8</v>
      </c>
      <c r="P111" s="277" t="s">
        <v>119</v>
      </c>
      <c r="Q111" s="277" t="s">
        <v>127</v>
      </c>
      <c r="R111" s="277" t="s">
        <v>309</v>
      </c>
      <c r="S111" s="277" t="s">
        <v>112</v>
      </c>
    </row>
    <row r="112" spans="1:16" s="141" customFormat="1" ht="24" customHeight="1">
      <c r="A112" s="262" t="s">
        <v>200</v>
      </c>
      <c r="B112" s="262" t="s">
        <v>114</v>
      </c>
      <c r="C112" s="262" t="s">
        <v>115</v>
      </c>
      <c r="D112" s="263" t="s">
        <v>201</v>
      </c>
      <c r="E112" s="264" t="s">
        <v>202</v>
      </c>
      <c r="F112" s="262" t="s">
        <v>141</v>
      </c>
      <c r="G112" s="265">
        <v>11.2</v>
      </c>
      <c r="H112" s="387"/>
      <c r="I112" s="266">
        <f>ROUND(G112*H112,2)</f>
        <v>0</v>
      </c>
      <c r="J112" s="267">
        <v>0</v>
      </c>
      <c r="K112" s="265">
        <f>G112*J112</f>
        <v>0</v>
      </c>
      <c r="L112" s="267">
        <v>0</v>
      </c>
      <c r="M112" s="265">
        <f>G112*L112</f>
        <v>0</v>
      </c>
      <c r="N112" s="268">
        <v>21</v>
      </c>
      <c r="O112" s="269">
        <v>4</v>
      </c>
      <c r="P112" s="141" t="s">
        <v>119</v>
      </c>
    </row>
    <row r="113" spans="4:19" s="141" customFormat="1" ht="15.75" customHeight="1">
      <c r="D113" s="270"/>
      <c r="E113" s="271" t="s">
        <v>338</v>
      </c>
      <c r="G113" s="272"/>
      <c r="P113" s="270" t="s">
        <v>119</v>
      </c>
      <c r="Q113" s="270" t="s">
        <v>112</v>
      </c>
      <c r="R113" s="270" t="s">
        <v>309</v>
      </c>
      <c r="S113" s="270" t="s">
        <v>111</v>
      </c>
    </row>
    <row r="114" spans="4:19" s="141" customFormat="1" ht="15.75" customHeight="1">
      <c r="D114" s="270"/>
      <c r="E114" s="271" t="s">
        <v>332</v>
      </c>
      <c r="G114" s="272"/>
      <c r="P114" s="270" t="s">
        <v>119</v>
      </c>
      <c r="Q114" s="270" t="s">
        <v>112</v>
      </c>
      <c r="R114" s="270" t="s">
        <v>309</v>
      </c>
      <c r="S114" s="270" t="s">
        <v>111</v>
      </c>
    </row>
    <row r="115" spans="4:19" s="141" customFormat="1" ht="15.75" customHeight="1">
      <c r="D115" s="273"/>
      <c r="E115" s="274" t="s">
        <v>345</v>
      </c>
      <c r="G115" s="299">
        <v>11.2</v>
      </c>
      <c r="P115" s="273" t="s">
        <v>119</v>
      </c>
      <c r="Q115" s="273" t="s">
        <v>119</v>
      </c>
      <c r="R115" s="273" t="s">
        <v>309</v>
      </c>
      <c r="S115" s="273" t="s">
        <v>112</v>
      </c>
    </row>
    <row r="116" spans="1:16" s="141" customFormat="1" ht="13.5" customHeight="1">
      <c r="A116" s="280" t="s">
        <v>203</v>
      </c>
      <c r="B116" s="280" t="s">
        <v>204</v>
      </c>
      <c r="C116" s="280" t="s">
        <v>205</v>
      </c>
      <c r="D116" s="281" t="s">
        <v>206</v>
      </c>
      <c r="E116" s="282" t="s">
        <v>207</v>
      </c>
      <c r="F116" s="280" t="s">
        <v>208</v>
      </c>
      <c r="G116" s="283">
        <v>22.4</v>
      </c>
      <c r="H116" s="388"/>
      <c r="I116" s="284">
        <f>ROUND(G116*H116,2)</f>
        <v>0</v>
      </c>
      <c r="J116" s="285">
        <v>1</v>
      </c>
      <c r="K116" s="283">
        <f>G116*J116</f>
        <v>22.4</v>
      </c>
      <c r="L116" s="285">
        <v>0</v>
      </c>
      <c r="M116" s="283">
        <f>G116*L116</f>
        <v>0</v>
      </c>
      <c r="N116" s="286">
        <v>21</v>
      </c>
      <c r="O116" s="287">
        <v>8</v>
      </c>
      <c r="P116" s="288" t="s">
        <v>119</v>
      </c>
    </row>
    <row r="117" spans="1:16" s="141" customFormat="1" ht="24" customHeight="1">
      <c r="A117" s="262" t="s">
        <v>209</v>
      </c>
      <c r="B117" s="262" t="s">
        <v>114</v>
      </c>
      <c r="C117" s="262" t="s">
        <v>115</v>
      </c>
      <c r="D117" s="263" t="s">
        <v>210</v>
      </c>
      <c r="E117" s="264" t="s">
        <v>211</v>
      </c>
      <c r="F117" s="262" t="s">
        <v>126</v>
      </c>
      <c r="G117" s="265">
        <v>175</v>
      </c>
      <c r="H117" s="387"/>
      <c r="I117" s="266">
        <f>ROUND(G117*H117,2)</f>
        <v>0</v>
      </c>
      <c r="J117" s="267">
        <v>0</v>
      </c>
      <c r="K117" s="265">
        <f>G117*J117</f>
        <v>0</v>
      </c>
      <c r="L117" s="267">
        <v>0</v>
      </c>
      <c r="M117" s="265">
        <f>G117*L117</f>
        <v>0</v>
      </c>
      <c r="N117" s="268">
        <v>21</v>
      </c>
      <c r="O117" s="269">
        <v>4</v>
      </c>
      <c r="P117" s="141" t="s">
        <v>119</v>
      </c>
    </row>
    <row r="118" spans="4:19" s="141" customFormat="1" ht="15.75" customHeight="1">
      <c r="D118" s="270"/>
      <c r="E118" s="271" t="s">
        <v>338</v>
      </c>
      <c r="G118" s="272"/>
      <c r="P118" s="270" t="s">
        <v>119</v>
      </c>
      <c r="Q118" s="270" t="s">
        <v>112</v>
      </c>
      <c r="R118" s="270" t="s">
        <v>309</v>
      </c>
      <c r="S118" s="270" t="s">
        <v>111</v>
      </c>
    </row>
    <row r="119" spans="4:19" s="141" customFormat="1" ht="15.75" customHeight="1">
      <c r="D119" s="273"/>
      <c r="E119" s="274" t="s">
        <v>346</v>
      </c>
      <c r="G119" s="275">
        <v>175</v>
      </c>
      <c r="P119" s="273" t="s">
        <v>119</v>
      </c>
      <c r="Q119" s="273" t="s">
        <v>119</v>
      </c>
      <c r="R119" s="273" t="s">
        <v>309</v>
      </c>
      <c r="S119" s="273" t="s">
        <v>112</v>
      </c>
    </row>
    <row r="120" spans="1:16" s="141" customFormat="1" ht="24" customHeight="1">
      <c r="A120" s="262" t="s">
        <v>212</v>
      </c>
      <c r="B120" s="262" t="s">
        <v>114</v>
      </c>
      <c r="C120" s="262" t="s">
        <v>213</v>
      </c>
      <c r="D120" s="263" t="s">
        <v>214</v>
      </c>
      <c r="E120" s="264" t="s">
        <v>215</v>
      </c>
      <c r="F120" s="262" t="s">
        <v>126</v>
      </c>
      <c r="G120" s="265">
        <v>175</v>
      </c>
      <c r="H120" s="387"/>
      <c r="I120" s="266">
        <f>ROUND(G120*H120,2)</f>
        <v>0</v>
      </c>
      <c r="J120" s="267">
        <v>0</v>
      </c>
      <c r="K120" s="265">
        <f>G120*J120</f>
        <v>0</v>
      </c>
      <c r="L120" s="267">
        <v>0</v>
      </c>
      <c r="M120" s="265">
        <f>G120*L120</f>
        <v>0</v>
      </c>
      <c r="N120" s="268">
        <v>21</v>
      </c>
      <c r="O120" s="269">
        <v>4</v>
      </c>
      <c r="P120" s="141" t="s">
        <v>119</v>
      </c>
    </row>
    <row r="121" spans="4:19" s="141" customFormat="1" ht="15.75" customHeight="1">
      <c r="D121" s="270"/>
      <c r="E121" s="271" t="s">
        <v>338</v>
      </c>
      <c r="G121" s="272"/>
      <c r="P121" s="270" t="s">
        <v>119</v>
      </c>
      <c r="Q121" s="270" t="s">
        <v>112</v>
      </c>
      <c r="R121" s="270" t="s">
        <v>309</v>
      </c>
      <c r="S121" s="270" t="s">
        <v>111</v>
      </c>
    </row>
    <row r="122" spans="4:19" s="141" customFormat="1" ht="15.75" customHeight="1">
      <c r="D122" s="273"/>
      <c r="E122" s="274" t="s">
        <v>346</v>
      </c>
      <c r="G122" s="275">
        <v>175</v>
      </c>
      <c r="P122" s="273" t="s">
        <v>119</v>
      </c>
      <c r="Q122" s="273" t="s">
        <v>119</v>
      </c>
      <c r="R122" s="273" t="s">
        <v>309</v>
      </c>
      <c r="S122" s="273" t="s">
        <v>112</v>
      </c>
    </row>
    <row r="123" spans="1:16" s="141" customFormat="1" ht="13.5" customHeight="1">
      <c r="A123" s="280" t="s">
        <v>216</v>
      </c>
      <c r="B123" s="280" t="s">
        <v>204</v>
      </c>
      <c r="C123" s="280" t="s">
        <v>205</v>
      </c>
      <c r="D123" s="281" t="s">
        <v>217</v>
      </c>
      <c r="E123" s="282" t="s">
        <v>218</v>
      </c>
      <c r="F123" s="280" t="s">
        <v>219</v>
      </c>
      <c r="G123" s="283">
        <v>4.375</v>
      </c>
      <c r="H123" s="388"/>
      <c r="I123" s="284">
        <f>ROUND(G123*H123,2)</f>
        <v>0</v>
      </c>
      <c r="J123" s="285">
        <v>0.001</v>
      </c>
      <c r="K123" s="283">
        <f>G123*J123</f>
        <v>0.004375</v>
      </c>
      <c r="L123" s="285">
        <v>0</v>
      </c>
      <c r="M123" s="283">
        <f>G123*L123</f>
        <v>0</v>
      </c>
      <c r="N123" s="286">
        <v>21</v>
      </c>
      <c r="O123" s="287">
        <v>8</v>
      </c>
      <c r="P123" s="288" t="s">
        <v>119</v>
      </c>
    </row>
    <row r="124" spans="1:16" s="141" customFormat="1" ht="13.5" customHeight="1">
      <c r="A124" s="262" t="s">
        <v>220</v>
      </c>
      <c r="B124" s="262" t="s">
        <v>114</v>
      </c>
      <c r="C124" s="262" t="s">
        <v>213</v>
      </c>
      <c r="D124" s="263" t="s">
        <v>221</v>
      </c>
      <c r="E124" s="264" t="s">
        <v>222</v>
      </c>
      <c r="F124" s="262" t="s">
        <v>126</v>
      </c>
      <c r="G124" s="265">
        <v>175</v>
      </c>
      <c r="H124" s="387"/>
      <c r="I124" s="266">
        <f>ROUND(G124*H124,2)</f>
        <v>0</v>
      </c>
      <c r="J124" s="267">
        <v>0</v>
      </c>
      <c r="K124" s="265">
        <f>G124*J124</f>
        <v>0</v>
      </c>
      <c r="L124" s="267">
        <v>0</v>
      </c>
      <c r="M124" s="265">
        <f>G124*L124</f>
        <v>0</v>
      </c>
      <c r="N124" s="268">
        <v>21</v>
      </c>
      <c r="O124" s="269">
        <v>4</v>
      </c>
      <c r="P124" s="141" t="s">
        <v>119</v>
      </c>
    </row>
    <row r="125" spans="4:19" s="141" customFormat="1" ht="15.75" customHeight="1">
      <c r="D125" s="270"/>
      <c r="E125" s="271" t="s">
        <v>338</v>
      </c>
      <c r="G125" s="272"/>
      <c r="P125" s="270" t="s">
        <v>119</v>
      </c>
      <c r="Q125" s="270" t="s">
        <v>112</v>
      </c>
      <c r="R125" s="270" t="s">
        <v>309</v>
      </c>
      <c r="S125" s="270" t="s">
        <v>111</v>
      </c>
    </row>
    <row r="126" spans="4:19" s="141" customFormat="1" ht="15.75" customHeight="1">
      <c r="D126" s="273"/>
      <c r="E126" s="274" t="s">
        <v>346</v>
      </c>
      <c r="G126" s="275">
        <v>175</v>
      </c>
      <c r="P126" s="273" t="s">
        <v>119</v>
      </c>
      <c r="Q126" s="273" t="s">
        <v>119</v>
      </c>
      <c r="R126" s="273" t="s">
        <v>309</v>
      </c>
      <c r="S126" s="273" t="s">
        <v>112</v>
      </c>
    </row>
    <row r="127" spans="1:16" s="141" customFormat="1" ht="13.5" customHeight="1">
      <c r="A127" s="262" t="s">
        <v>223</v>
      </c>
      <c r="B127" s="262" t="s">
        <v>114</v>
      </c>
      <c r="C127" s="262" t="s">
        <v>213</v>
      </c>
      <c r="D127" s="263" t="s">
        <v>224</v>
      </c>
      <c r="E127" s="264" t="s">
        <v>225</v>
      </c>
      <c r="F127" s="262" t="s">
        <v>126</v>
      </c>
      <c r="G127" s="265">
        <v>175</v>
      </c>
      <c r="H127" s="387"/>
      <c r="I127" s="266">
        <f>ROUND(G127*H127,2)</f>
        <v>0</v>
      </c>
      <c r="J127" s="267">
        <v>0</v>
      </c>
      <c r="K127" s="265">
        <f>G127*J127</f>
        <v>0</v>
      </c>
      <c r="L127" s="267">
        <v>0</v>
      </c>
      <c r="M127" s="265">
        <f>G127*L127</f>
        <v>0</v>
      </c>
      <c r="N127" s="268">
        <v>21</v>
      </c>
      <c r="O127" s="269">
        <v>4</v>
      </c>
      <c r="P127" s="141" t="s">
        <v>119</v>
      </c>
    </row>
    <row r="128" spans="4:19" s="141" customFormat="1" ht="15.75" customHeight="1">
      <c r="D128" s="270"/>
      <c r="E128" s="271" t="s">
        <v>338</v>
      </c>
      <c r="G128" s="272"/>
      <c r="P128" s="270" t="s">
        <v>119</v>
      </c>
      <c r="Q128" s="270" t="s">
        <v>112</v>
      </c>
      <c r="R128" s="270" t="s">
        <v>309</v>
      </c>
      <c r="S128" s="270" t="s">
        <v>111</v>
      </c>
    </row>
    <row r="129" spans="4:19" s="141" customFormat="1" ht="15.75" customHeight="1">
      <c r="D129" s="273"/>
      <c r="E129" s="274" t="s">
        <v>346</v>
      </c>
      <c r="G129" s="275">
        <v>175</v>
      </c>
      <c r="P129" s="273" t="s">
        <v>119</v>
      </c>
      <c r="Q129" s="273" t="s">
        <v>119</v>
      </c>
      <c r="R129" s="273" t="s">
        <v>309</v>
      </c>
      <c r="S129" s="273" t="s">
        <v>112</v>
      </c>
    </row>
    <row r="130" spans="1:16" s="141" customFormat="1" ht="13.5" customHeight="1">
      <c r="A130" s="262" t="s">
        <v>226</v>
      </c>
      <c r="B130" s="262" t="s">
        <v>114</v>
      </c>
      <c r="C130" s="262" t="s">
        <v>213</v>
      </c>
      <c r="D130" s="263" t="s">
        <v>227</v>
      </c>
      <c r="E130" s="264" t="s">
        <v>228</v>
      </c>
      <c r="F130" s="262" t="s">
        <v>126</v>
      </c>
      <c r="G130" s="265">
        <v>175</v>
      </c>
      <c r="H130" s="387"/>
      <c r="I130" s="266">
        <f>ROUND(G130*H130,2)</f>
        <v>0</v>
      </c>
      <c r="J130" s="267">
        <v>0</v>
      </c>
      <c r="K130" s="265">
        <f>G130*J130</f>
        <v>0</v>
      </c>
      <c r="L130" s="267">
        <v>0</v>
      </c>
      <c r="M130" s="265">
        <f>G130*L130</f>
        <v>0</v>
      </c>
      <c r="N130" s="268">
        <v>21</v>
      </c>
      <c r="O130" s="269">
        <v>4</v>
      </c>
      <c r="P130" s="141" t="s">
        <v>119</v>
      </c>
    </row>
    <row r="131" spans="4:19" s="141" customFormat="1" ht="15.75" customHeight="1">
      <c r="D131" s="270"/>
      <c r="E131" s="271" t="s">
        <v>338</v>
      </c>
      <c r="G131" s="272"/>
      <c r="P131" s="270" t="s">
        <v>119</v>
      </c>
      <c r="Q131" s="270" t="s">
        <v>112</v>
      </c>
      <c r="R131" s="270" t="s">
        <v>309</v>
      </c>
      <c r="S131" s="270" t="s">
        <v>111</v>
      </c>
    </row>
    <row r="132" spans="4:19" s="141" customFormat="1" ht="15.75" customHeight="1">
      <c r="D132" s="273"/>
      <c r="E132" s="274" t="s">
        <v>346</v>
      </c>
      <c r="G132" s="275">
        <v>175</v>
      </c>
      <c r="P132" s="273" t="s">
        <v>119</v>
      </c>
      <c r="Q132" s="273" t="s">
        <v>119</v>
      </c>
      <c r="R132" s="273" t="s">
        <v>309</v>
      </c>
      <c r="S132" s="273" t="s">
        <v>112</v>
      </c>
    </row>
    <row r="133" spans="1:16" s="141" customFormat="1" ht="13.5" customHeight="1">
      <c r="A133" s="262" t="s">
        <v>229</v>
      </c>
      <c r="B133" s="262" t="s">
        <v>114</v>
      </c>
      <c r="C133" s="262" t="s">
        <v>213</v>
      </c>
      <c r="D133" s="263" t="s">
        <v>230</v>
      </c>
      <c r="E133" s="264" t="s">
        <v>231</v>
      </c>
      <c r="F133" s="262" t="s">
        <v>126</v>
      </c>
      <c r="G133" s="265">
        <v>175</v>
      </c>
      <c r="H133" s="387"/>
      <c r="I133" s="266">
        <f>ROUND(G133*H133,2)</f>
        <v>0</v>
      </c>
      <c r="J133" s="267">
        <v>0</v>
      </c>
      <c r="K133" s="265">
        <f>G133*J133</f>
        <v>0</v>
      </c>
      <c r="L133" s="267">
        <v>0</v>
      </c>
      <c r="M133" s="265">
        <f>G133*L133</f>
        <v>0</v>
      </c>
      <c r="N133" s="268">
        <v>21</v>
      </c>
      <c r="O133" s="269">
        <v>4</v>
      </c>
      <c r="P133" s="141" t="s">
        <v>119</v>
      </c>
    </row>
    <row r="134" spans="4:19" s="141" customFormat="1" ht="15.75" customHeight="1">
      <c r="D134" s="270"/>
      <c r="E134" s="271" t="s">
        <v>338</v>
      </c>
      <c r="G134" s="272"/>
      <c r="P134" s="270" t="s">
        <v>119</v>
      </c>
      <c r="Q134" s="270" t="s">
        <v>112</v>
      </c>
      <c r="R134" s="270" t="s">
        <v>309</v>
      </c>
      <c r="S134" s="270" t="s">
        <v>111</v>
      </c>
    </row>
    <row r="135" spans="4:19" s="141" customFormat="1" ht="15.75" customHeight="1">
      <c r="D135" s="273"/>
      <c r="E135" s="274" t="s">
        <v>346</v>
      </c>
      <c r="G135" s="275">
        <v>175</v>
      </c>
      <c r="P135" s="273" t="s">
        <v>119</v>
      </c>
      <c r="Q135" s="273" t="s">
        <v>119</v>
      </c>
      <c r="R135" s="273" t="s">
        <v>309</v>
      </c>
      <c r="S135" s="273" t="s">
        <v>112</v>
      </c>
    </row>
    <row r="136" spans="1:16" s="141" customFormat="1" ht="13.5" customHeight="1">
      <c r="A136" s="262" t="s">
        <v>232</v>
      </c>
      <c r="B136" s="262" t="s">
        <v>114</v>
      </c>
      <c r="C136" s="262" t="s">
        <v>188</v>
      </c>
      <c r="D136" s="263" t="s">
        <v>233</v>
      </c>
      <c r="E136" s="264" t="s">
        <v>234</v>
      </c>
      <c r="F136" s="262" t="s">
        <v>235</v>
      </c>
      <c r="G136" s="265">
        <v>8</v>
      </c>
      <c r="H136" s="387"/>
      <c r="I136" s="266">
        <f>ROUND(G136*H136,2)</f>
        <v>0</v>
      </c>
      <c r="J136" s="267">
        <v>0</v>
      </c>
      <c r="K136" s="265">
        <f>G136*J136</f>
        <v>0</v>
      </c>
      <c r="L136" s="267">
        <v>0</v>
      </c>
      <c r="M136" s="265">
        <f>G136*L136</f>
        <v>0</v>
      </c>
      <c r="N136" s="268">
        <v>21</v>
      </c>
      <c r="O136" s="269">
        <v>4</v>
      </c>
      <c r="P136" s="141" t="s">
        <v>119</v>
      </c>
    </row>
    <row r="137" spans="4:19" s="141" customFormat="1" ht="15.75" customHeight="1">
      <c r="D137" s="270"/>
      <c r="E137" s="271" t="s">
        <v>338</v>
      </c>
      <c r="G137" s="272"/>
      <c r="P137" s="270" t="s">
        <v>119</v>
      </c>
      <c r="Q137" s="270" t="s">
        <v>112</v>
      </c>
      <c r="R137" s="270" t="s">
        <v>309</v>
      </c>
      <c r="S137" s="270" t="s">
        <v>111</v>
      </c>
    </row>
    <row r="138" spans="4:19" s="141" customFormat="1" ht="15.75" customHeight="1">
      <c r="D138" s="273"/>
      <c r="E138" s="274" t="s">
        <v>142</v>
      </c>
      <c r="G138" s="275">
        <v>8</v>
      </c>
      <c r="P138" s="273" t="s">
        <v>119</v>
      </c>
      <c r="Q138" s="273" t="s">
        <v>119</v>
      </c>
      <c r="R138" s="273" t="s">
        <v>309</v>
      </c>
      <c r="S138" s="273" t="s">
        <v>112</v>
      </c>
    </row>
    <row r="139" spans="1:16" s="141" customFormat="1" ht="13.5" customHeight="1">
      <c r="A139" s="262" t="s">
        <v>237</v>
      </c>
      <c r="B139" s="262" t="s">
        <v>114</v>
      </c>
      <c r="C139" s="262" t="s">
        <v>188</v>
      </c>
      <c r="D139" s="263" t="s">
        <v>297</v>
      </c>
      <c r="E139" s="264" t="s">
        <v>298</v>
      </c>
      <c r="F139" s="262" t="s">
        <v>235</v>
      </c>
      <c r="G139" s="265">
        <v>5</v>
      </c>
      <c r="H139" s="387"/>
      <c r="I139" s="266">
        <f>ROUND(G139*H139,2)</f>
        <v>0</v>
      </c>
      <c r="J139" s="267">
        <v>0</v>
      </c>
      <c r="K139" s="265">
        <f>G139*J139</f>
        <v>0</v>
      </c>
      <c r="L139" s="267">
        <v>0</v>
      </c>
      <c r="M139" s="265">
        <f>G139*L139</f>
        <v>0</v>
      </c>
      <c r="N139" s="268">
        <v>21</v>
      </c>
      <c r="O139" s="269">
        <v>4</v>
      </c>
      <c r="P139" s="141" t="s">
        <v>119</v>
      </c>
    </row>
    <row r="140" spans="4:19" s="141" customFormat="1" ht="15.75" customHeight="1">
      <c r="D140" s="270"/>
      <c r="E140" s="271" t="s">
        <v>347</v>
      </c>
      <c r="G140" s="272"/>
      <c r="P140" s="270" t="s">
        <v>119</v>
      </c>
      <c r="Q140" s="270" t="s">
        <v>112</v>
      </c>
      <c r="R140" s="270" t="s">
        <v>309</v>
      </c>
      <c r="S140" s="270" t="s">
        <v>111</v>
      </c>
    </row>
    <row r="141" spans="4:19" s="141" customFormat="1" ht="15.75" customHeight="1">
      <c r="D141" s="273"/>
      <c r="E141" s="274" t="s">
        <v>130</v>
      </c>
      <c r="G141" s="275">
        <v>5</v>
      </c>
      <c r="P141" s="273" t="s">
        <v>119</v>
      </c>
      <c r="Q141" s="273" t="s">
        <v>119</v>
      </c>
      <c r="R141" s="273" t="s">
        <v>309</v>
      </c>
      <c r="S141" s="273" t="s">
        <v>112</v>
      </c>
    </row>
    <row r="142" spans="1:16" s="141" customFormat="1" ht="13.5" customHeight="1">
      <c r="A142" s="262" t="s">
        <v>242</v>
      </c>
      <c r="B142" s="262" t="s">
        <v>114</v>
      </c>
      <c r="C142" s="262" t="s">
        <v>188</v>
      </c>
      <c r="D142" s="263" t="s">
        <v>299</v>
      </c>
      <c r="E142" s="264" t="s">
        <v>300</v>
      </c>
      <c r="F142" s="262" t="s">
        <v>235</v>
      </c>
      <c r="G142" s="265">
        <v>1</v>
      </c>
      <c r="H142" s="387"/>
      <c r="I142" s="266">
        <f>ROUND(G142*H142,2)</f>
        <v>0</v>
      </c>
      <c r="J142" s="267">
        <v>0</v>
      </c>
      <c r="K142" s="265">
        <f>G142*J142</f>
        <v>0</v>
      </c>
      <c r="L142" s="267">
        <v>0</v>
      </c>
      <c r="M142" s="265">
        <f>G142*L142</f>
        <v>0</v>
      </c>
      <c r="N142" s="268">
        <v>21</v>
      </c>
      <c r="O142" s="269">
        <v>4</v>
      </c>
      <c r="P142" s="141" t="s">
        <v>119</v>
      </c>
    </row>
    <row r="143" spans="4:19" s="141" customFormat="1" ht="15.75" customHeight="1">
      <c r="D143" s="270"/>
      <c r="E143" s="271" t="s">
        <v>337</v>
      </c>
      <c r="G143" s="272"/>
      <c r="P143" s="270" t="s">
        <v>119</v>
      </c>
      <c r="Q143" s="270" t="s">
        <v>112</v>
      </c>
      <c r="R143" s="270" t="s">
        <v>309</v>
      </c>
      <c r="S143" s="270" t="s">
        <v>111</v>
      </c>
    </row>
    <row r="144" spans="4:19" s="141" customFormat="1" ht="15.75" customHeight="1">
      <c r="D144" s="273"/>
      <c r="E144" s="274" t="s">
        <v>112</v>
      </c>
      <c r="G144" s="275">
        <v>1</v>
      </c>
      <c r="P144" s="273" t="s">
        <v>119</v>
      </c>
      <c r="Q144" s="273" t="s">
        <v>119</v>
      </c>
      <c r="R144" s="273" t="s">
        <v>309</v>
      </c>
      <c r="S144" s="273" t="s">
        <v>112</v>
      </c>
    </row>
    <row r="145" spans="1:16" s="141" customFormat="1" ht="13.5" customHeight="1">
      <c r="A145" s="262" t="s">
        <v>246</v>
      </c>
      <c r="B145" s="262" t="s">
        <v>114</v>
      </c>
      <c r="C145" s="262" t="s">
        <v>188</v>
      </c>
      <c r="D145" s="263" t="s">
        <v>301</v>
      </c>
      <c r="E145" s="264" t="s">
        <v>302</v>
      </c>
      <c r="F145" s="262" t="s">
        <v>303</v>
      </c>
      <c r="G145" s="265">
        <v>1</v>
      </c>
      <c r="H145" s="387"/>
      <c r="I145" s="266">
        <f>ROUND(G145*H145,2)</f>
        <v>0</v>
      </c>
      <c r="J145" s="267">
        <v>0</v>
      </c>
      <c r="K145" s="265">
        <f>G145*J145</f>
        <v>0</v>
      </c>
      <c r="L145" s="267">
        <v>0</v>
      </c>
      <c r="M145" s="265">
        <f>G145*L145</f>
        <v>0</v>
      </c>
      <c r="N145" s="268">
        <v>21</v>
      </c>
      <c r="O145" s="269">
        <v>4</v>
      </c>
      <c r="P145" s="141" t="s">
        <v>119</v>
      </c>
    </row>
    <row r="146" spans="4:19" s="141" customFormat="1" ht="15.75" customHeight="1">
      <c r="D146" s="270"/>
      <c r="E146" s="271" t="s">
        <v>338</v>
      </c>
      <c r="G146" s="272"/>
      <c r="P146" s="270" t="s">
        <v>119</v>
      </c>
      <c r="Q146" s="270" t="s">
        <v>112</v>
      </c>
      <c r="R146" s="270" t="s">
        <v>309</v>
      </c>
      <c r="S146" s="270" t="s">
        <v>111</v>
      </c>
    </row>
    <row r="147" spans="4:19" s="141" customFormat="1" ht="15.75" customHeight="1">
      <c r="D147" s="273"/>
      <c r="E147" s="274" t="s">
        <v>112</v>
      </c>
      <c r="G147" s="275">
        <v>1</v>
      </c>
      <c r="P147" s="273" t="s">
        <v>119</v>
      </c>
      <c r="Q147" s="273" t="s">
        <v>119</v>
      </c>
      <c r="R147" s="273" t="s">
        <v>309</v>
      </c>
      <c r="S147" s="273" t="s">
        <v>112</v>
      </c>
    </row>
    <row r="148" spans="2:16" s="256" customFormat="1" ht="12.75" customHeight="1">
      <c r="B148" s="258" t="s">
        <v>77</v>
      </c>
      <c r="D148" s="259" t="s">
        <v>119</v>
      </c>
      <c r="E148" s="259" t="s">
        <v>236</v>
      </c>
      <c r="I148" s="260">
        <f>SUM(I149:I157)</f>
        <v>0</v>
      </c>
      <c r="K148" s="261">
        <f>SUM(K149:K157)</f>
        <v>10.86326</v>
      </c>
      <c r="M148" s="261">
        <f>SUM(M149:M157)</f>
        <v>0</v>
      </c>
      <c r="P148" s="259" t="s">
        <v>112</v>
      </c>
    </row>
    <row r="149" spans="1:16" s="141" customFormat="1" ht="24" customHeight="1">
      <c r="A149" s="262" t="s">
        <v>250</v>
      </c>
      <c r="B149" s="262" t="s">
        <v>114</v>
      </c>
      <c r="C149" s="262" t="s">
        <v>238</v>
      </c>
      <c r="D149" s="263" t="s">
        <v>239</v>
      </c>
      <c r="E149" s="264" t="s">
        <v>240</v>
      </c>
      <c r="F149" s="262" t="s">
        <v>241</v>
      </c>
      <c r="G149" s="265">
        <v>47</v>
      </c>
      <c r="H149" s="387"/>
      <c r="I149" s="266">
        <f>ROUND(G149*H149,2)</f>
        <v>0</v>
      </c>
      <c r="J149" s="267">
        <v>0.23058</v>
      </c>
      <c r="K149" s="265">
        <f>G149*J149</f>
        <v>10.83726</v>
      </c>
      <c r="L149" s="267">
        <v>0</v>
      </c>
      <c r="M149" s="265">
        <f>G149*L149</f>
        <v>0</v>
      </c>
      <c r="N149" s="268">
        <v>21</v>
      </c>
      <c r="O149" s="269">
        <v>4</v>
      </c>
      <c r="P149" s="141" t="s">
        <v>119</v>
      </c>
    </row>
    <row r="150" spans="4:19" s="141" customFormat="1" ht="15.75" customHeight="1">
      <c r="D150" s="270"/>
      <c r="E150" s="271" t="s">
        <v>308</v>
      </c>
      <c r="G150" s="272"/>
      <c r="P150" s="270" t="s">
        <v>119</v>
      </c>
      <c r="Q150" s="270" t="s">
        <v>112</v>
      </c>
      <c r="R150" s="270" t="s">
        <v>309</v>
      </c>
      <c r="S150" s="270" t="s">
        <v>111</v>
      </c>
    </row>
    <row r="151" spans="4:19" s="141" customFormat="1" ht="15.75" customHeight="1">
      <c r="D151" s="273"/>
      <c r="E151" s="274" t="s">
        <v>348</v>
      </c>
      <c r="G151" s="275">
        <v>47</v>
      </c>
      <c r="P151" s="273" t="s">
        <v>119</v>
      </c>
      <c r="Q151" s="273" t="s">
        <v>119</v>
      </c>
      <c r="R151" s="273" t="s">
        <v>309</v>
      </c>
      <c r="S151" s="273" t="s">
        <v>112</v>
      </c>
    </row>
    <row r="152" spans="1:16" s="141" customFormat="1" ht="13.5" customHeight="1">
      <c r="A152" s="262" t="s">
        <v>253</v>
      </c>
      <c r="B152" s="262" t="s">
        <v>114</v>
      </c>
      <c r="C152" s="262" t="s">
        <v>243</v>
      </c>
      <c r="D152" s="263" t="s">
        <v>244</v>
      </c>
      <c r="E152" s="264" t="s">
        <v>245</v>
      </c>
      <c r="F152" s="262" t="s">
        <v>241</v>
      </c>
      <c r="G152" s="265">
        <v>20</v>
      </c>
      <c r="H152" s="387"/>
      <c r="I152" s="266">
        <f>ROUND(G152*H152,2)</f>
        <v>0</v>
      </c>
      <c r="J152" s="267">
        <v>0.00052</v>
      </c>
      <c r="K152" s="265">
        <f>G152*J152</f>
        <v>0.0104</v>
      </c>
      <c r="L152" s="267">
        <v>0</v>
      </c>
      <c r="M152" s="265">
        <f>G152*L152</f>
        <v>0</v>
      </c>
      <c r="N152" s="268">
        <v>21</v>
      </c>
      <c r="O152" s="269">
        <v>4</v>
      </c>
      <c r="P152" s="141" t="s">
        <v>119</v>
      </c>
    </row>
    <row r="153" spans="4:19" s="141" customFormat="1" ht="15.75" customHeight="1">
      <c r="D153" s="270"/>
      <c r="E153" s="271" t="s">
        <v>337</v>
      </c>
      <c r="G153" s="272"/>
      <c r="P153" s="270" t="s">
        <v>119</v>
      </c>
      <c r="Q153" s="270" t="s">
        <v>112</v>
      </c>
      <c r="R153" s="270" t="s">
        <v>309</v>
      </c>
      <c r="S153" s="270" t="s">
        <v>111</v>
      </c>
    </row>
    <row r="154" spans="4:19" s="141" customFormat="1" ht="15.75" customHeight="1">
      <c r="D154" s="273"/>
      <c r="E154" s="274" t="s">
        <v>349</v>
      </c>
      <c r="G154" s="275">
        <v>20</v>
      </c>
      <c r="P154" s="273" t="s">
        <v>119</v>
      </c>
      <c r="Q154" s="273" t="s">
        <v>119</v>
      </c>
      <c r="R154" s="273" t="s">
        <v>309</v>
      </c>
      <c r="S154" s="273" t="s">
        <v>112</v>
      </c>
    </row>
    <row r="155" spans="1:16" s="141" customFormat="1" ht="13.5" customHeight="1">
      <c r="A155" s="262" t="s">
        <v>256</v>
      </c>
      <c r="B155" s="262" t="s">
        <v>114</v>
      </c>
      <c r="C155" s="262" t="s">
        <v>243</v>
      </c>
      <c r="D155" s="263" t="s">
        <v>247</v>
      </c>
      <c r="E155" s="264" t="s">
        <v>248</v>
      </c>
      <c r="F155" s="262" t="s">
        <v>241</v>
      </c>
      <c r="G155" s="265">
        <v>30</v>
      </c>
      <c r="H155" s="387"/>
      <c r="I155" s="266">
        <f>ROUND(G155*H155,2)</f>
        <v>0</v>
      </c>
      <c r="J155" s="267">
        <v>0.00052</v>
      </c>
      <c r="K155" s="265">
        <f>G155*J155</f>
        <v>0.0156</v>
      </c>
      <c r="L155" s="267">
        <v>0</v>
      </c>
      <c r="M155" s="265">
        <f>G155*L155</f>
        <v>0</v>
      </c>
      <c r="N155" s="268">
        <v>21</v>
      </c>
      <c r="O155" s="269">
        <v>4</v>
      </c>
      <c r="P155" s="141" t="s">
        <v>119</v>
      </c>
    </row>
    <row r="156" spans="4:19" s="141" customFormat="1" ht="15.75" customHeight="1">
      <c r="D156" s="270"/>
      <c r="E156" s="271" t="s">
        <v>337</v>
      </c>
      <c r="G156" s="272"/>
      <c r="P156" s="270" t="s">
        <v>119</v>
      </c>
      <c r="Q156" s="270" t="s">
        <v>112</v>
      </c>
      <c r="R156" s="270" t="s">
        <v>309</v>
      </c>
      <c r="S156" s="270" t="s">
        <v>111</v>
      </c>
    </row>
    <row r="157" spans="4:19" s="141" customFormat="1" ht="15.75" customHeight="1">
      <c r="D157" s="273"/>
      <c r="E157" s="274" t="s">
        <v>336</v>
      </c>
      <c r="G157" s="275">
        <v>30</v>
      </c>
      <c r="P157" s="273" t="s">
        <v>119</v>
      </c>
      <c r="Q157" s="273" t="s">
        <v>119</v>
      </c>
      <c r="R157" s="273" t="s">
        <v>309</v>
      </c>
      <c r="S157" s="273" t="s">
        <v>112</v>
      </c>
    </row>
    <row r="158" spans="2:16" s="256" customFormat="1" ht="12.75" customHeight="1">
      <c r="B158" s="258" t="s">
        <v>77</v>
      </c>
      <c r="D158" s="259" t="s">
        <v>130</v>
      </c>
      <c r="E158" s="259" t="s">
        <v>249</v>
      </c>
      <c r="I158" s="260">
        <f>SUM(I159:I167)</f>
        <v>0</v>
      </c>
      <c r="K158" s="261">
        <f>SUM(K159:K167)</f>
        <v>96.87960000000001</v>
      </c>
      <c r="M158" s="261">
        <f>SUM(M159:M167)</f>
        <v>0</v>
      </c>
      <c r="P158" s="259" t="s">
        <v>112</v>
      </c>
    </row>
    <row r="159" spans="1:16" s="141" customFormat="1" ht="13.5" customHeight="1">
      <c r="A159" s="262" t="s">
        <v>260</v>
      </c>
      <c r="B159" s="262" t="s">
        <v>114</v>
      </c>
      <c r="C159" s="262" t="s">
        <v>123</v>
      </c>
      <c r="D159" s="263" t="s">
        <v>251</v>
      </c>
      <c r="E159" s="264" t="s">
        <v>252</v>
      </c>
      <c r="F159" s="262" t="s">
        <v>126</v>
      </c>
      <c r="G159" s="265">
        <v>120</v>
      </c>
      <c r="H159" s="387"/>
      <c r="I159" s="266">
        <f>ROUND(G159*H159,2)</f>
        <v>0</v>
      </c>
      <c r="J159" s="267">
        <v>0</v>
      </c>
      <c r="K159" s="265">
        <f>G159*J159</f>
        <v>0</v>
      </c>
      <c r="L159" s="267">
        <v>0</v>
      </c>
      <c r="M159" s="265">
        <f>G159*L159</f>
        <v>0</v>
      </c>
      <c r="N159" s="268">
        <v>21</v>
      </c>
      <c r="O159" s="269">
        <v>4</v>
      </c>
      <c r="P159" s="141" t="s">
        <v>119</v>
      </c>
    </row>
    <row r="160" spans="4:19" s="141" customFormat="1" ht="15.75" customHeight="1">
      <c r="D160" s="270"/>
      <c r="E160" s="271" t="s">
        <v>338</v>
      </c>
      <c r="G160" s="272"/>
      <c r="P160" s="270" t="s">
        <v>119</v>
      </c>
      <c r="Q160" s="270" t="s">
        <v>112</v>
      </c>
      <c r="R160" s="270" t="s">
        <v>309</v>
      </c>
      <c r="S160" s="270" t="s">
        <v>111</v>
      </c>
    </row>
    <row r="161" spans="4:19" s="141" customFormat="1" ht="15.75" customHeight="1">
      <c r="D161" s="270"/>
      <c r="E161" s="271" t="s">
        <v>310</v>
      </c>
      <c r="G161" s="272"/>
      <c r="P161" s="270" t="s">
        <v>119</v>
      </c>
      <c r="Q161" s="270" t="s">
        <v>112</v>
      </c>
      <c r="R161" s="270" t="s">
        <v>309</v>
      </c>
      <c r="S161" s="270" t="s">
        <v>111</v>
      </c>
    </row>
    <row r="162" spans="4:19" s="141" customFormat="1" ht="15.75" customHeight="1">
      <c r="D162" s="273"/>
      <c r="E162" s="274" t="s">
        <v>312</v>
      </c>
      <c r="G162" s="275">
        <v>120</v>
      </c>
      <c r="P162" s="273" t="s">
        <v>119</v>
      </c>
      <c r="Q162" s="273" t="s">
        <v>119</v>
      </c>
      <c r="R162" s="273" t="s">
        <v>309</v>
      </c>
      <c r="S162" s="273" t="s">
        <v>112</v>
      </c>
    </row>
    <row r="163" spans="1:16" s="141" customFormat="1" ht="13.5" customHeight="1">
      <c r="A163" s="262" t="s">
        <v>263</v>
      </c>
      <c r="B163" s="262" t="s">
        <v>114</v>
      </c>
      <c r="C163" s="262" t="s">
        <v>123</v>
      </c>
      <c r="D163" s="263" t="s">
        <v>254</v>
      </c>
      <c r="E163" s="264" t="s">
        <v>255</v>
      </c>
      <c r="F163" s="262" t="s">
        <v>126</v>
      </c>
      <c r="G163" s="265">
        <v>60</v>
      </c>
      <c r="H163" s="387"/>
      <c r="I163" s="266">
        <f>ROUND(G163*H163,2)</f>
        <v>0</v>
      </c>
      <c r="J163" s="267">
        <v>0.0835</v>
      </c>
      <c r="K163" s="265">
        <f>G163*J163</f>
        <v>5.010000000000001</v>
      </c>
      <c r="L163" s="267">
        <v>0</v>
      </c>
      <c r="M163" s="265">
        <f>G163*L163</f>
        <v>0</v>
      </c>
      <c r="N163" s="268">
        <v>21</v>
      </c>
      <c r="O163" s="269">
        <v>4</v>
      </c>
      <c r="P163" s="141" t="s">
        <v>119</v>
      </c>
    </row>
    <row r="164" spans="4:19" s="141" customFormat="1" ht="15.75" customHeight="1">
      <c r="D164" s="270"/>
      <c r="E164" s="271" t="s">
        <v>338</v>
      </c>
      <c r="G164" s="272"/>
      <c r="P164" s="270" t="s">
        <v>119</v>
      </c>
      <c r="Q164" s="270" t="s">
        <v>112</v>
      </c>
      <c r="R164" s="270" t="s">
        <v>309</v>
      </c>
      <c r="S164" s="270" t="s">
        <v>111</v>
      </c>
    </row>
    <row r="165" spans="4:19" s="141" customFormat="1" ht="15.75" customHeight="1">
      <c r="D165" s="270"/>
      <c r="E165" s="271" t="s">
        <v>310</v>
      </c>
      <c r="G165" s="272"/>
      <c r="P165" s="270" t="s">
        <v>119</v>
      </c>
      <c r="Q165" s="270" t="s">
        <v>112</v>
      </c>
      <c r="R165" s="270" t="s">
        <v>309</v>
      </c>
      <c r="S165" s="270" t="s">
        <v>111</v>
      </c>
    </row>
    <row r="166" spans="4:19" s="141" customFormat="1" ht="15.75" customHeight="1">
      <c r="D166" s="273"/>
      <c r="E166" s="274" t="s">
        <v>311</v>
      </c>
      <c r="G166" s="275">
        <v>60</v>
      </c>
      <c r="P166" s="273" t="s">
        <v>119</v>
      </c>
      <c r="Q166" s="273" t="s">
        <v>119</v>
      </c>
      <c r="R166" s="273" t="s">
        <v>309</v>
      </c>
      <c r="S166" s="273" t="s">
        <v>112</v>
      </c>
    </row>
    <row r="167" spans="1:16" s="141" customFormat="1" ht="13.5" customHeight="1">
      <c r="A167" s="280" t="s">
        <v>268</v>
      </c>
      <c r="B167" s="280" t="s">
        <v>204</v>
      </c>
      <c r="C167" s="280" t="s">
        <v>205</v>
      </c>
      <c r="D167" s="281" t="s">
        <v>257</v>
      </c>
      <c r="E167" s="282" t="s">
        <v>258</v>
      </c>
      <c r="F167" s="280" t="s">
        <v>126</v>
      </c>
      <c r="G167" s="283">
        <v>60.6</v>
      </c>
      <c r="H167" s="388"/>
      <c r="I167" s="284">
        <f>ROUND(G167*H167,2)</f>
        <v>0</v>
      </c>
      <c r="J167" s="285">
        <v>1.516</v>
      </c>
      <c r="K167" s="283">
        <f>G167*J167</f>
        <v>91.8696</v>
      </c>
      <c r="L167" s="285">
        <v>0</v>
      </c>
      <c r="M167" s="283">
        <f>G167*L167</f>
        <v>0</v>
      </c>
      <c r="N167" s="286">
        <v>21</v>
      </c>
      <c r="O167" s="287">
        <v>8</v>
      </c>
      <c r="P167" s="288" t="s">
        <v>119</v>
      </c>
    </row>
    <row r="168" spans="2:16" s="256" customFormat="1" ht="12.75" customHeight="1">
      <c r="B168" s="258" t="s">
        <v>77</v>
      </c>
      <c r="D168" s="259" t="s">
        <v>142</v>
      </c>
      <c r="E168" s="259" t="s">
        <v>259</v>
      </c>
      <c r="I168" s="260">
        <f>SUM(I169:I173)</f>
        <v>0</v>
      </c>
      <c r="K168" s="261">
        <f>SUM(K169:K173)</f>
        <v>0.53696</v>
      </c>
      <c r="M168" s="261">
        <f>SUM(M169:M173)</f>
        <v>0</v>
      </c>
      <c r="P168" s="259" t="s">
        <v>112</v>
      </c>
    </row>
    <row r="169" spans="1:16" s="141" customFormat="1" ht="13.5" customHeight="1">
      <c r="A169" s="262" t="s">
        <v>271</v>
      </c>
      <c r="B169" s="262" t="s">
        <v>114</v>
      </c>
      <c r="C169" s="262" t="s">
        <v>238</v>
      </c>
      <c r="D169" s="263" t="s">
        <v>261</v>
      </c>
      <c r="E169" s="264" t="s">
        <v>262</v>
      </c>
      <c r="F169" s="262" t="s">
        <v>118</v>
      </c>
      <c r="G169" s="265">
        <v>4</v>
      </c>
      <c r="H169" s="387"/>
      <c r="I169" s="266">
        <f>ROUND(G169*H169,2)</f>
        <v>0</v>
      </c>
      <c r="J169" s="267">
        <v>0.01424</v>
      </c>
      <c r="K169" s="265">
        <f>G169*J169</f>
        <v>0.05696</v>
      </c>
      <c r="L169" s="267">
        <v>0</v>
      </c>
      <c r="M169" s="265">
        <f>G169*L169</f>
        <v>0</v>
      </c>
      <c r="N169" s="268">
        <v>21</v>
      </c>
      <c r="O169" s="269">
        <v>4</v>
      </c>
      <c r="P169" s="141" t="s">
        <v>119</v>
      </c>
    </row>
    <row r="170" spans="4:19" s="141" customFormat="1" ht="15.75" customHeight="1">
      <c r="D170" s="270"/>
      <c r="E170" s="271" t="s">
        <v>337</v>
      </c>
      <c r="G170" s="272"/>
      <c r="P170" s="270" t="s">
        <v>119</v>
      </c>
      <c r="Q170" s="270" t="s">
        <v>112</v>
      </c>
      <c r="R170" s="270" t="s">
        <v>309</v>
      </c>
      <c r="S170" s="270" t="s">
        <v>111</v>
      </c>
    </row>
    <row r="171" spans="4:19" s="141" customFormat="1" ht="15.75" customHeight="1">
      <c r="D171" s="270"/>
      <c r="E171" s="271" t="s">
        <v>332</v>
      </c>
      <c r="G171" s="272"/>
      <c r="P171" s="270" t="s">
        <v>119</v>
      </c>
      <c r="Q171" s="270" t="s">
        <v>112</v>
      </c>
      <c r="R171" s="270" t="s">
        <v>309</v>
      </c>
      <c r="S171" s="270" t="s">
        <v>111</v>
      </c>
    </row>
    <row r="172" spans="4:19" s="141" customFormat="1" ht="15.75" customHeight="1">
      <c r="D172" s="273"/>
      <c r="E172" s="274" t="s">
        <v>127</v>
      </c>
      <c r="G172" s="275">
        <v>4</v>
      </c>
      <c r="P172" s="273" t="s">
        <v>119</v>
      </c>
      <c r="Q172" s="273" t="s">
        <v>119</v>
      </c>
      <c r="R172" s="273" t="s">
        <v>309</v>
      </c>
      <c r="S172" s="273" t="s">
        <v>112</v>
      </c>
    </row>
    <row r="173" spans="1:16" s="141" customFormat="1" ht="13.5" customHeight="1">
      <c r="A173" s="280" t="s">
        <v>274</v>
      </c>
      <c r="B173" s="280" t="s">
        <v>204</v>
      </c>
      <c r="C173" s="280" t="s">
        <v>205</v>
      </c>
      <c r="D173" s="281" t="s">
        <v>264</v>
      </c>
      <c r="E173" s="282" t="s">
        <v>265</v>
      </c>
      <c r="F173" s="280" t="s">
        <v>118</v>
      </c>
      <c r="G173" s="283">
        <v>4</v>
      </c>
      <c r="H173" s="388"/>
      <c r="I173" s="284">
        <f>ROUND(G173*H173,2)</f>
        <v>0</v>
      </c>
      <c r="J173" s="285">
        <v>0.12</v>
      </c>
      <c r="K173" s="283">
        <f>G173*J173</f>
        <v>0.48</v>
      </c>
      <c r="L173" s="285">
        <v>0</v>
      </c>
      <c r="M173" s="283">
        <f>G173*L173</f>
        <v>0</v>
      </c>
      <c r="N173" s="286">
        <v>21</v>
      </c>
      <c r="O173" s="287">
        <v>8</v>
      </c>
      <c r="P173" s="288" t="s">
        <v>119</v>
      </c>
    </row>
    <row r="174" spans="2:16" s="256" customFormat="1" ht="12.75" customHeight="1">
      <c r="B174" s="258" t="s">
        <v>77</v>
      </c>
      <c r="D174" s="259" t="s">
        <v>266</v>
      </c>
      <c r="E174" s="259" t="s">
        <v>267</v>
      </c>
      <c r="I174" s="260">
        <f>SUM(I175:I179)</f>
        <v>0</v>
      </c>
      <c r="K174" s="261">
        <f>SUM(K175:K179)</f>
        <v>0</v>
      </c>
      <c r="M174" s="261">
        <f>SUM(M175:M179)</f>
        <v>0</v>
      </c>
      <c r="P174" s="259" t="s">
        <v>112</v>
      </c>
    </row>
    <row r="175" spans="1:16" s="141" customFormat="1" ht="13.5" customHeight="1">
      <c r="A175" s="262" t="s">
        <v>277</v>
      </c>
      <c r="B175" s="262" t="s">
        <v>114</v>
      </c>
      <c r="C175" s="262" t="s">
        <v>123</v>
      </c>
      <c r="D175" s="263" t="s">
        <v>269</v>
      </c>
      <c r="E175" s="264" t="s">
        <v>270</v>
      </c>
      <c r="F175" s="262" t="s">
        <v>208</v>
      </c>
      <c r="G175" s="265">
        <v>53.52</v>
      </c>
      <c r="H175" s="387"/>
      <c r="I175" s="266">
        <f>ROUND(G175*H175,2)</f>
        <v>0</v>
      </c>
      <c r="J175" s="267">
        <v>0</v>
      </c>
      <c r="K175" s="265">
        <f>G175*J175</f>
        <v>0</v>
      </c>
      <c r="L175" s="267">
        <v>0</v>
      </c>
      <c r="M175" s="265">
        <f>G175*L175</f>
        <v>0</v>
      </c>
      <c r="N175" s="268">
        <v>21</v>
      </c>
      <c r="O175" s="269">
        <v>4</v>
      </c>
      <c r="P175" s="141" t="s">
        <v>119</v>
      </c>
    </row>
    <row r="176" spans="1:16" s="141" customFormat="1" ht="13.5" customHeight="1">
      <c r="A176" s="262" t="s">
        <v>280</v>
      </c>
      <c r="B176" s="262" t="s">
        <v>114</v>
      </c>
      <c r="C176" s="262" t="s">
        <v>123</v>
      </c>
      <c r="D176" s="263" t="s">
        <v>272</v>
      </c>
      <c r="E176" s="264" t="s">
        <v>273</v>
      </c>
      <c r="F176" s="262" t="s">
        <v>208</v>
      </c>
      <c r="G176" s="265">
        <v>481.68</v>
      </c>
      <c r="H176" s="387"/>
      <c r="I176" s="266">
        <f>ROUND(G176*H176,2)</f>
        <v>0</v>
      </c>
      <c r="J176" s="267">
        <v>0</v>
      </c>
      <c r="K176" s="265">
        <f>G176*J176</f>
        <v>0</v>
      </c>
      <c r="L176" s="267">
        <v>0</v>
      </c>
      <c r="M176" s="265">
        <f>G176*L176</f>
        <v>0</v>
      </c>
      <c r="N176" s="268">
        <v>21</v>
      </c>
      <c r="O176" s="269">
        <v>4</v>
      </c>
      <c r="P176" s="141" t="s">
        <v>119</v>
      </c>
    </row>
    <row r="177" spans="1:16" s="141" customFormat="1" ht="13.5" customHeight="1">
      <c r="A177" s="262" t="s">
        <v>287</v>
      </c>
      <c r="B177" s="262" t="s">
        <v>114</v>
      </c>
      <c r="C177" s="262" t="s">
        <v>123</v>
      </c>
      <c r="D177" s="263" t="s">
        <v>275</v>
      </c>
      <c r="E177" s="264" t="s">
        <v>276</v>
      </c>
      <c r="F177" s="262" t="s">
        <v>208</v>
      </c>
      <c r="G177" s="265">
        <v>53.52</v>
      </c>
      <c r="H177" s="387"/>
      <c r="I177" s="266">
        <f>ROUND(G177*H177,2)</f>
        <v>0</v>
      </c>
      <c r="J177" s="267">
        <v>0</v>
      </c>
      <c r="K177" s="265">
        <f>G177*J177</f>
        <v>0</v>
      </c>
      <c r="L177" s="267">
        <v>0</v>
      </c>
      <c r="M177" s="265">
        <f>G177*L177</f>
        <v>0</v>
      </c>
      <c r="N177" s="268">
        <v>21</v>
      </c>
      <c r="O177" s="269">
        <v>4</v>
      </c>
      <c r="P177" s="141" t="s">
        <v>119</v>
      </c>
    </row>
    <row r="178" spans="1:16" s="141" customFormat="1" ht="13.5" customHeight="1">
      <c r="A178" s="262" t="s">
        <v>290</v>
      </c>
      <c r="B178" s="262" t="s">
        <v>114</v>
      </c>
      <c r="C178" s="262" t="s">
        <v>123</v>
      </c>
      <c r="D178" s="263" t="s">
        <v>278</v>
      </c>
      <c r="E178" s="264" t="s">
        <v>279</v>
      </c>
      <c r="F178" s="262" t="s">
        <v>208</v>
      </c>
      <c r="G178" s="265">
        <v>53.52</v>
      </c>
      <c r="H178" s="387"/>
      <c r="I178" s="266">
        <f>ROUND(G178*H178,2)</f>
        <v>0</v>
      </c>
      <c r="J178" s="267">
        <v>0</v>
      </c>
      <c r="K178" s="265">
        <f>G178*J178</f>
        <v>0</v>
      </c>
      <c r="L178" s="267">
        <v>0</v>
      </c>
      <c r="M178" s="265">
        <f>G178*L178</f>
        <v>0</v>
      </c>
      <c r="N178" s="268">
        <v>21</v>
      </c>
      <c r="O178" s="269">
        <v>4</v>
      </c>
      <c r="P178" s="141" t="s">
        <v>119</v>
      </c>
    </row>
    <row r="179" spans="1:16" s="141" customFormat="1" ht="13.5" customHeight="1">
      <c r="A179" s="262" t="s">
        <v>293</v>
      </c>
      <c r="B179" s="262" t="s">
        <v>114</v>
      </c>
      <c r="C179" s="262" t="s">
        <v>281</v>
      </c>
      <c r="D179" s="263" t="s">
        <v>282</v>
      </c>
      <c r="E179" s="264" t="s">
        <v>283</v>
      </c>
      <c r="F179" s="262" t="s">
        <v>208</v>
      </c>
      <c r="G179" s="265">
        <v>131.496</v>
      </c>
      <c r="H179" s="387"/>
      <c r="I179" s="266">
        <f>ROUND(G179*H179,2)</f>
        <v>0</v>
      </c>
      <c r="J179" s="267">
        <v>0</v>
      </c>
      <c r="K179" s="265">
        <f>G179*J179</f>
        <v>0</v>
      </c>
      <c r="L179" s="267">
        <v>0</v>
      </c>
      <c r="M179" s="265">
        <f>G179*L179</f>
        <v>0</v>
      </c>
      <c r="N179" s="268">
        <v>21</v>
      </c>
      <c r="O179" s="269">
        <v>4</v>
      </c>
      <c r="P179" s="141" t="s">
        <v>119</v>
      </c>
    </row>
    <row r="180" spans="2:16" s="256" customFormat="1" ht="12.75" customHeight="1">
      <c r="B180" s="289" t="s">
        <v>77</v>
      </c>
      <c r="D180" s="257" t="s">
        <v>66</v>
      </c>
      <c r="E180" s="257" t="s">
        <v>284</v>
      </c>
      <c r="I180" s="290">
        <f>I181</f>
        <v>0</v>
      </c>
      <c r="K180" s="291">
        <f>K181</f>
        <v>0.0462</v>
      </c>
      <c r="M180" s="291">
        <f>M181</f>
        <v>0.24</v>
      </c>
      <c r="P180" s="257" t="s">
        <v>111</v>
      </c>
    </row>
    <row r="181" spans="2:16" s="256" customFormat="1" ht="12.75" customHeight="1">
      <c r="B181" s="258" t="s">
        <v>77</v>
      </c>
      <c r="D181" s="259" t="s">
        <v>285</v>
      </c>
      <c r="E181" s="259" t="s">
        <v>286</v>
      </c>
      <c r="I181" s="260">
        <f>SUM(I182:I190)</f>
        <v>0</v>
      </c>
      <c r="K181" s="261">
        <f>SUM(K182:K190)</f>
        <v>0.0462</v>
      </c>
      <c r="M181" s="261">
        <f>SUM(M182:M190)</f>
        <v>0.24</v>
      </c>
      <c r="P181" s="259" t="s">
        <v>112</v>
      </c>
    </row>
    <row r="182" spans="1:16" s="141" customFormat="1" ht="13.5" customHeight="1">
      <c r="A182" s="262" t="s">
        <v>304</v>
      </c>
      <c r="B182" s="262" t="s">
        <v>114</v>
      </c>
      <c r="C182" s="262" t="s">
        <v>285</v>
      </c>
      <c r="D182" s="263" t="s">
        <v>288</v>
      </c>
      <c r="E182" s="264" t="s">
        <v>289</v>
      </c>
      <c r="F182" s="262" t="s">
        <v>126</v>
      </c>
      <c r="G182" s="265">
        <v>60</v>
      </c>
      <c r="H182" s="387"/>
      <c r="I182" s="266">
        <f>ROUND(G182*H182,2)</f>
        <v>0</v>
      </c>
      <c r="J182" s="267">
        <v>0</v>
      </c>
      <c r="K182" s="265">
        <f>G182*J182</f>
        <v>0</v>
      </c>
      <c r="L182" s="267">
        <v>0.004</v>
      </c>
      <c r="M182" s="265">
        <f>G182*L182</f>
        <v>0.24</v>
      </c>
      <c r="N182" s="268">
        <v>21</v>
      </c>
      <c r="O182" s="269">
        <v>16</v>
      </c>
      <c r="P182" s="141" t="s">
        <v>119</v>
      </c>
    </row>
    <row r="183" spans="4:19" s="141" customFormat="1" ht="15.75" customHeight="1">
      <c r="D183" s="270"/>
      <c r="E183" s="271" t="s">
        <v>350</v>
      </c>
      <c r="G183" s="272"/>
      <c r="P183" s="270" t="s">
        <v>119</v>
      </c>
      <c r="Q183" s="270" t="s">
        <v>112</v>
      </c>
      <c r="R183" s="270" t="s">
        <v>309</v>
      </c>
      <c r="S183" s="270" t="s">
        <v>111</v>
      </c>
    </row>
    <row r="184" spans="4:19" s="141" customFormat="1" ht="15.75" customHeight="1">
      <c r="D184" s="270"/>
      <c r="E184" s="271" t="s">
        <v>310</v>
      </c>
      <c r="G184" s="272"/>
      <c r="P184" s="270" t="s">
        <v>119</v>
      </c>
      <c r="Q184" s="270" t="s">
        <v>112</v>
      </c>
      <c r="R184" s="270" t="s">
        <v>309</v>
      </c>
      <c r="S184" s="270" t="s">
        <v>111</v>
      </c>
    </row>
    <row r="185" spans="4:19" s="141" customFormat="1" ht="15.75" customHeight="1">
      <c r="D185" s="273"/>
      <c r="E185" s="274" t="s">
        <v>311</v>
      </c>
      <c r="G185" s="275">
        <v>60</v>
      </c>
      <c r="P185" s="273" t="s">
        <v>119</v>
      </c>
      <c r="Q185" s="273" t="s">
        <v>119</v>
      </c>
      <c r="R185" s="273" t="s">
        <v>309</v>
      </c>
      <c r="S185" s="273" t="s">
        <v>112</v>
      </c>
    </row>
    <row r="186" spans="1:16" s="141" customFormat="1" ht="13.5" customHeight="1">
      <c r="A186" s="262" t="s">
        <v>305</v>
      </c>
      <c r="B186" s="262" t="s">
        <v>114</v>
      </c>
      <c r="C186" s="262" t="s">
        <v>285</v>
      </c>
      <c r="D186" s="263" t="s">
        <v>291</v>
      </c>
      <c r="E186" s="264" t="s">
        <v>292</v>
      </c>
      <c r="F186" s="262" t="s">
        <v>126</v>
      </c>
      <c r="G186" s="265">
        <v>60</v>
      </c>
      <c r="H186" s="387"/>
      <c r="I186" s="266">
        <f>ROUND(G186*H186,2)</f>
        <v>0</v>
      </c>
      <c r="J186" s="267">
        <v>0.00077</v>
      </c>
      <c r="K186" s="265">
        <f>G186*J186</f>
        <v>0.0462</v>
      </c>
      <c r="L186" s="267">
        <v>0</v>
      </c>
      <c r="M186" s="265">
        <f>G186*L186</f>
        <v>0</v>
      </c>
      <c r="N186" s="268">
        <v>21</v>
      </c>
      <c r="O186" s="269">
        <v>16</v>
      </c>
      <c r="P186" s="141" t="s">
        <v>119</v>
      </c>
    </row>
    <row r="187" spans="4:19" s="141" customFormat="1" ht="15.75" customHeight="1">
      <c r="D187" s="270"/>
      <c r="E187" s="271" t="s">
        <v>338</v>
      </c>
      <c r="G187" s="272"/>
      <c r="P187" s="270" t="s">
        <v>119</v>
      </c>
      <c r="Q187" s="270" t="s">
        <v>112</v>
      </c>
      <c r="R187" s="270" t="s">
        <v>309</v>
      </c>
      <c r="S187" s="270" t="s">
        <v>111</v>
      </c>
    </row>
    <row r="188" spans="4:19" s="141" customFormat="1" ht="15.75" customHeight="1">
      <c r="D188" s="270"/>
      <c r="E188" s="271" t="s">
        <v>310</v>
      </c>
      <c r="G188" s="272"/>
      <c r="P188" s="270" t="s">
        <v>119</v>
      </c>
      <c r="Q188" s="270" t="s">
        <v>112</v>
      </c>
      <c r="R188" s="270" t="s">
        <v>309</v>
      </c>
      <c r="S188" s="270" t="s">
        <v>111</v>
      </c>
    </row>
    <row r="189" spans="4:19" s="141" customFormat="1" ht="15.75" customHeight="1">
      <c r="D189" s="273"/>
      <c r="E189" s="274" t="s">
        <v>311</v>
      </c>
      <c r="G189" s="275">
        <v>60</v>
      </c>
      <c r="P189" s="273" t="s">
        <v>119</v>
      </c>
      <c r="Q189" s="273" t="s">
        <v>119</v>
      </c>
      <c r="R189" s="273" t="s">
        <v>309</v>
      </c>
      <c r="S189" s="273" t="s">
        <v>112</v>
      </c>
    </row>
    <row r="190" spans="1:16" s="141" customFormat="1" ht="24" customHeight="1">
      <c r="A190" s="262" t="s">
        <v>306</v>
      </c>
      <c r="B190" s="262" t="s">
        <v>114</v>
      </c>
      <c r="C190" s="262" t="s">
        <v>285</v>
      </c>
      <c r="D190" s="263" t="s">
        <v>294</v>
      </c>
      <c r="E190" s="264" t="s">
        <v>295</v>
      </c>
      <c r="F190" s="262" t="s">
        <v>62</v>
      </c>
      <c r="G190" s="265">
        <v>85.728</v>
      </c>
      <c r="H190" s="387"/>
      <c r="I190" s="266">
        <f>ROUND(G190*H190,2)</f>
        <v>0</v>
      </c>
      <c r="J190" s="267">
        <v>0</v>
      </c>
      <c r="K190" s="265">
        <f>G190*J190</f>
        <v>0</v>
      </c>
      <c r="L190" s="267">
        <v>0</v>
      </c>
      <c r="M190" s="265">
        <f>G190*L190</f>
        <v>0</v>
      </c>
      <c r="N190" s="268">
        <v>21</v>
      </c>
      <c r="O190" s="269">
        <v>16</v>
      </c>
      <c r="P190" s="141" t="s">
        <v>119</v>
      </c>
    </row>
    <row r="191" spans="5:13" s="292" customFormat="1" ht="12.75" customHeight="1">
      <c r="E191" s="293" t="s">
        <v>18</v>
      </c>
      <c r="I191" s="294">
        <f>I14+I180</f>
        <v>0</v>
      </c>
      <c r="K191" s="295">
        <f>K14+K180</f>
        <v>131.40641725</v>
      </c>
      <c r="M191" s="295">
        <f>M14+M180</f>
        <v>53.519999999999996</v>
      </c>
    </row>
  </sheetData>
  <sheetProtection password="EF31" sheet="1" objects="1" scenarios="1" selectLockedCells="1"/>
  <printOptions gridLines="1" horizontalCentered="1"/>
  <pageMargins left="0.7874015748031497" right="0.3937007874015748" top="0.7874015748031497" bottom="0.7874015748031497" header="0" footer="0"/>
  <pageSetup fitToHeight="3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/>
  </sheetViews>
  <sheetFormatPr defaultColWidth="9.33203125" defaultRowHeight="10.5"/>
  <cols>
    <col min="1" max="1" width="14.33203125" style="0" customWidth="1"/>
    <col min="2" max="2" width="10.5" style="0" customWidth="1"/>
    <col min="3" max="3" width="15.5" style="0" bestFit="1" customWidth="1"/>
    <col min="4" max="4" width="14.5" style="0" bestFit="1" customWidth="1"/>
    <col min="7" max="7" width="17.83203125" style="391" customWidth="1"/>
    <col min="8" max="9" width="9.16015625" style="391" customWidth="1"/>
    <col min="10" max="10" width="17.83203125" style="391" bestFit="1" customWidth="1"/>
    <col min="11" max="11" width="15.66015625" style="0" customWidth="1"/>
  </cols>
  <sheetData>
    <row r="1" spans="1:4" ht="10.5">
      <c r="A1" s="316"/>
      <c r="B1" s="317"/>
      <c r="C1" s="319" t="s">
        <v>459</v>
      </c>
      <c r="D1" s="318"/>
    </row>
    <row r="2" spans="1:5" ht="10.5">
      <c r="A2" s="393" t="s">
        <v>19</v>
      </c>
      <c r="B2" s="393" t="s">
        <v>18</v>
      </c>
      <c r="C2" s="394" t="s">
        <v>460</v>
      </c>
      <c r="D2" s="395" t="s">
        <v>458</v>
      </c>
      <c r="E2" s="396"/>
    </row>
    <row r="3" spans="1:5" ht="10.5">
      <c r="A3" s="394" t="s">
        <v>367</v>
      </c>
      <c r="B3" s="394">
        <v>0</v>
      </c>
      <c r="C3" s="397">
        <v>0</v>
      </c>
      <c r="D3" s="398">
        <v>10</v>
      </c>
      <c r="E3" s="396"/>
    </row>
    <row r="4" spans="1:10" ht="10.5">
      <c r="A4" s="394" t="s">
        <v>452</v>
      </c>
      <c r="B4" s="399"/>
      <c r="C4" s="397">
        <v>0</v>
      </c>
      <c r="D4" s="398">
        <v>10</v>
      </c>
      <c r="E4" s="396"/>
      <c r="G4" s="390"/>
      <c r="I4" s="392"/>
      <c r="J4" s="392"/>
    </row>
    <row r="5" spans="1:10" ht="10.5">
      <c r="A5" s="394" t="s">
        <v>373</v>
      </c>
      <c r="B5" s="394">
        <v>0</v>
      </c>
      <c r="C5" s="397">
        <v>0</v>
      </c>
      <c r="D5" s="398">
        <v>4</v>
      </c>
      <c r="E5" s="396"/>
      <c r="G5" s="390"/>
      <c r="I5" s="392"/>
      <c r="J5" s="392"/>
    </row>
    <row r="6" spans="1:10" ht="10.5">
      <c r="A6" s="394" t="s">
        <v>453</v>
      </c>
      <c r="B6" s="399"/>
      <c r="C6" s="397">
        <v>0</v>
      </c>
      <c r="D6" s="398">
        <v>4</v>
      </c>
      <c r="E6" s="396"/>
      <c r="G6" s="390"/>
      <c r="I6" s="392"/>
      <c r="J6" s="392"/>
    </row>
    <row r="7" spans="1:10" ht="10.5">
      <c r="A7" s="394" t="s">
        <v>392</v>
      </c>
      <c r="B7" s="394">
        <v>0</v>
      </c>
      <c r="C7" s="397">
        <v>0</v>
      </c>
      <c r="D7" s="398">
        <v>11</v>
      </c>
      <c r="E7" s="396"/>
      <c r="G7" s="390"/>
      <c r="I7" s="392"/>
      <c r="J7" s="392"/>
    </row>
    <row r="8" spans="1:10" ht="10.5">
      <c r="A8" s="394" t="s">
        <v>454</v>
      </c>
      <c r="B8" s="399"/>
      <c r="C8" s="397">
        <v>0</v>
      </c>
      <c r="D8" s="398">
        <v>11</v>
      </c>
      <c r="E8" s="396"/>
      <c r="G8" s="390"/>
      <c r="I8" s="392"/>
      <c r="J8" s="392"/>
    </row>
    <row r="9" spans="1:10" ht="10.5">
      <c r="A9" s="394" t="s">
        <v>448</v>
      </c>
      <c r="B9" s="394">
        <v>0</v>
      </c>
      <c r="C9" s="397">
        <v>0</v>
      </c>
      <c r="D9" s="398">
        <v>11</v>
      </c>
      <c r="E9" s="396"/>
      <c r="G9" s="390"/>
      <c r="I9" s="392"/>
      <c r="J9" s="392"/>
    </row>
    <row r="10" spans="1:10" ht="10.5">
      <c r="A10" s="394" t="s">
        <v>455</v>
      </c>
      <c r="B10" s="399"/>
      <c r="C10" s="397">
        <v>0</v>
      </c>
      <c r="D10" s="398">
        <v>11</v>
      </c>
      <c r="E10" s="396"/>
      <c r="G10" s="390"/>
      <c r="I10" s="392"/>
      <c r="J10" s="392"/>
    </row>
    <row r="11" spans="1:10" ht="10.5">
      <c r="A11" s="394" t="s">
        <v>449</v>
      </c>
      <c r="B11" s="394">
        <v>0</v>
      </c>
      <c r="C11" s="397">
        <v>0</v>
      </c>
      <c r="D11" s="398">
        <v>26</v>
      </c>
      <c r="E11" s="396"/>
      <c r="I11" s="392"/>
      <c r="J11" s="392"/>
    </row>
    <row r="12" spans="1:5" ht="10.5">
      <c r="A12" s="394" t="s">
        <v>456</v>
      </c>
      <c r="B12" s="399"/>
      <c r="C12" s="397">
        <v>0</v>
      </c>
      <c r="D12" s="398">
        <v>26</v>
      </c>
      <c r="E12" s="396"/>
    </row>
    <row r="13" spans="1:5" ht="10.5">
      <c r="A13" s="394" t="s">
        <v>450</v>
      </c>
      <c r="B13" s="394" t="s">
        <v>450</v>
      </c>
      <c r="C13" s="397"/>
      <c r="D13" s="398"/>
      <c r="E13" s="396"/>
    </row>
    <row r="14" spans="1:5" ht="10.5">
      <c r="A14" s="400"/>
      <c r="B14" s="401">
        <v>0</v>
      </c>
      <c r="C14" s="402">
        <v>0</v>
      </c>
      <c r="D14" s="403">
        <v>6</v>
      </c>
      <c r="E14" s="396"/>
    </row>
    <row r="15" spans="1:5" ht="10.5">
      <c r="A15" s="394" t="s">
        <v>457</v>
      </c>
      <c r="B15" s="399"/>
      <c r="C15" s="397">
        <v>0</v>
      </c>
      <c r="D15" s="398">
        <v>6</v>
      </c>
      <c r="E15" s="396"/>
    </row>
    <row r="16" spans="1:5" ht="10.5">
      <c r="A16" s="394" t="s">
        <v>462</v>
      </c>
      <c r="B16" s="394">
        <v>0</v>
      </c>
      <c r="C16" s="397">
        <v>0</v>
      </c>
      <c r="D16" s="398">
        <v>1</v>
      </c>
      <c r="E16" s="396"/>
    </row>
    <row r="17" spans="1:5" ht="10.5">
      <c r="A17" s="394" t="s">
        <v>464</v>
      </c>
      <c r="B17" s="399"/>
      <c r="C17" s="397">
        <v>0</v>
      </c>
      <c r="D17" s="398">
        <v>1</v>
      </c>
      <c r="E17" s="396"/>
    </row>
    <row r="18" spans="1:5" ht="10.5">
      <c r="A18" s="394" t="s">
        <v>463</v>
      </c>
      <c r="B18" s="394">
        <v>0</v>
      </c>
      <c r="C18" s="397">
        <v>0</v>
      </c>
      <c r="D18" s="398">
        <v>1</v>
      </c>
      <c r="E18" s="396"/>
    </row>
    <row r="19" spans="1:5" ht="10.5">
      <c r="A19" s="394" t="s">
        <v>465</v>
      </c>
      <c r="B19" s="399"/>
      <c r="C19" s="397">
        <v>0</v>
      </c>
      <c r="D19" s="398">
        <v>1</v>
      </c>
      <c r="E19" s="396"/>
    </row>
    <row r="20" spans="1:5" ht="10.5">
      <c r="A20" s="404" t="s">
        <v>451</v>
      </c>
      <c r="B20" s="405"/>
      <c r="C20" s="406">
        <v>0</v>
      </c>
      <c r="D20" s="407">
        <v>70</v>
      </c>
      <c r="E20" s="396"/>
    </row>
    <row r="21" ht="10.5">
      <c r="E21" s="396"/>
    </row>
  </sheetData>
  <sheetProtection sheet="1" objects="1" scenarios="1" selectLockedCells="1" autoFilter="0" pivotTables="0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 Dedek</dc:creator>
  <cp:keywords/>
  <dc:description/>
  <cp:lastModifiedBy>Dusan Dedek</cp:lastModifiedBy>
  <cp:lastPrinted>2014-10-24T10:53:10Z</cp:lastPrinted>
  <dcterms:created xsi:type="dcterms:W3CDTF">2014-09-03T12:42:40Z</dcterms:created>
  <dcterms:modified xsi:type="dcterms:W3CDTF">2017-08-22T12:37:38Z</dcterms:modified>
  <cp:category/>
  <cp:version/>
  <cp:contentType/>
  <cp:contentStatus/>
</cp:coreProperties>
</file>