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600" windowHeight="11400" activeTab="2"/>
  </bookViews>
  <sheets>
    <sheet name="A. MUS - conservative (Gen Ex.)" sheetId="1" r:id="rId1"/>
    <sheet name="A. MUS - conservative_IACS" sheetId="2" r:id="rId2"/>
    <sheet name="A. MUS - conservative_NIACS" sheetId="3" r:id="rId3"/>
    <sheet name="B. CVS_IACS" sheetId="4" r:id="rId4"/>
    <sheet name="B. CVS_NIACS" sheetId="5" r:id="rId5"/>
    <sheet name="B. CVS_Overall" sheetId="6" r:id="rId6"/>
  </sheets>
  <definedNames>
    <definedName name="_xlnm._FilterDatabase" localSheetId="1" hidden="1">'A. MUS - conservative_IACS'!$A$7:$T$7</definedName>
    <definedName name="_xlfn.NORM.DIST" hidden="1">#NAME?</definedName>
    <definedName name="_xlfn.NORM.S.DIST" hidden="1">#NAME?</definedName>
    <definedName name="_xlfn.POISSON.DIST" hidden="1">#NAME?</definedName>
  </definedNames>
  <calcPr fullCalcOnLoad="1"/>
</workbook>
</file>

<file path=xl/sharedStrings.xml><?xml version="1.0" encoding="utf-8"?>
<sst xmlns="http://schemas.openxmlformats.org/spreadsheetml/2006/main" count="935" uniqueCount="298">
  <si>
    <t xml:space="preserve"> </t>
  </si>
  <si>
    <r>
      <t xml:space="preserve">Materiality (2%) : </t>
    </r>
    <r>
      <rPr>
        <b/>
        <sz val="10"/>
        <rFont val="Arial"/>
        <family val="2"/>
      </rPr>
      <t>(b)</t>
    </r>
    <r>
      <rPr>
        <sz val="10"/>
        <rFont val="Arial"/>
        <family val="0"/>
      </rPr>
      <t xml:space="preserve"> = 2% x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(a)</t>
    </r>
  </si>
  <si>
    <r>
      <t xml:space="preserve">Sampling interval </t>
    </r>
    <r>
      <rPr>
        <b/>
        <sz val="10"/>
        <rFont val="Arial"/>
        <family val="2"/>
      </rPr>
      <t>(d)</t>
    </r>
  </si>
  <si>
    <t>Confidence level</t>
  </si>
  <si>
    <r>
      <t xml:space="preserve">Sample size : </t>
    </r>
    <r>
      <rPr>
        <b/>
        <sz val="10"/>
        <rFont val="Arial"/>
        <family val="2"/>
      </rPr>
      <t xml:space="preserve">(e) </t>
    </r>
    <r>
      <rPr>
        <sz val="10"/>
        <rFont val="Arial"/>
        <family val="0"/>
      </rPr>
      <t>= (a) / (d)</t>
    </r>
  </si>
  <si>
    <r>
      <t xml:space="preserve">Financial error found from sampling </t>
    </r>
    <r>
      <rPr>
        <b/>
        <sz val="10"/>
        <rFont val="Arial"/>
        <family val="2"/>
      </rPr>
      <t>(f)</t>
    </r>
  </si>
  <si>
    <t>Known errors (k)</t>
  </si>
  <si>
    <r>
      <t>TOTAL ERROR (l) =</t>
    </r>
    <r>
      <rPr>
        <sz val="10"/>
        <rFont val="Arial"/>
        <family val="2"/>
      </rPr>
      <t xml:space="preserve"> (j) + (k)</t>
    </r>
  </si>
  <si>
    <r>
      <t xml:space="preserve">Amount of expenditure found eligible by the PA and disbursed to the final beneficiary </t>
    </r>
    <r>
      <rPr>
        <b/>
        <sz val="10"/>
        <rFont val="Arial"/>
        <family val="2"/>
      </rPr>
      <t>(a)</t>
    </r>
  </si>
  <si>
    <r>
      <t xml:space="preserve">Upper Error Limit (j) </t>
    </r>
    <r>
      <rPr>
        <sz val="10"/>
        <rFont val="Arial"/>
        <family val="2"/>
      </rPr>
      <t>= (g) + (h) +</t>
    </r>
    <r>
      <rPr>
        <i/>
        <sz val="10"/>
        <rFont val="Arial"/>
        <family val="2"/>
      </rPr>
      <t xml:space="preserve"> (i)</t>
    </r>
  </si>
  <si>
    <t>No of financial errors found in the sample</t>
  </si>
  <si>
    <t>Book value corresponding to the identified financial errors</t>
  </si>
  <si>
    <t>Tainting percentage = (Financial errors / Book value) * 100%</t>
  </si>
  <si>
    <r>
      <t>RF</t>
    </r>
    <r>
      <rPr>
        <sz val="10"/>
        <rFont val="Arial"/>
        <family val="0"/>
      </rPr>
      <t>= Reliablity factor varies depending on the confidence level: 99% - 4.6; 95% - 3; 90% - 2.3; 85% - 1.9; 80% - 1.6; 75% - 1.4; 70% - 1.2; 60% - 0.9; 50% - 0.7</t>
    </r>
  </si>
  <si>
    <r>
      <t>Most likely error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(g)</t>
    </r>
    <r>
      <rPr>
        <sz val="10"/>
        <rFont val="Arial"/>
        <family val="2"/>
      </rPr>
      <t xml:space="preserve"> = Taining percentage * Sampling interval</t>
    </r>
  </si>
  <si>
    <r>
      <t xml:space="preserve">Precision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(h) </t>
    </r>
    <r>
      <rPr>
        <sz val="10"/>
        <rFont val="Arial"/>
        <family val="2"/>
      </rPr>
      <t>= RF * (d)</t>
    </r>
  </si>
  <si>
    <t>MLE</t>
  </si>
  <si>
    <t>Incremental allowance</t>
  </si>
  <si>
    <t xml:space="preserve">UEL* </t>
  </si>
  <si>
    <t>* UEL without basic precision</t>
  </si>
  <si>
    <t>Error amount</t>
  </si>
  <si>
    <t>Tainting percentage</t>
  </si>
  <si>
    <r>
      <t>Pm</t>
    </r>
    <r>
      <rPr>
        <sz val="10"/>
        <rFont val="Arial"/>
        <family val="0"/>
      </rPr>
      <t xml:space="preserve"> = Projected misstatements</t>
    </r>
  </si>
  <si>
    <t>Projected misstatements</t>
  </si>
  <si>
    <r>
      <t xml:space="preserve">Incremental allowance for sampling risk </t>
    </r>
    <r>
      <rPr>
        <b/>
        <sz val="10"/>
        <rFont val="Arial"/>
        <family val="2"/>
      </rPr>
      <t xml:space="preserve">(i) </t>
    </r>
    <r>
      <rPr>
        <sz val="10"/>
        <rFont val="Arial"/>
        <family val="2"/>
      </rPr>
      <t>= [RF(n+1) - RF(n) - 1]*Pm</t>
    </r>
  </si>
  <si>
    <r>
      <t xml:space="preserve">Estimated error (10%) : </t>
    </r>
    <r>
      <rPr>
        <b/>
        <sz val="10"/>
        <rFont val="Arial"/>
        <family val="2"/>
      </rPr>
      <t>(c)</t>
    </r>
    <r>
      <rPr>
        <sz val="10"/>
        <rFont val="Arial"/>
        <family val="0"/>
      </rPr>
      <t xml:space="preserve"> = 10% x </t>
    </r>
    <r>
      <rPr>
        <sz val="10"/>
        <rFont val="Arial"/>
        <family val="2"/>
      </rPr>
      <t>(b)</t>
    </r>
  </si>
  <si>
    <t>Error evaluation for MUS - conservative approach (Example)</t>
  </si>
  <si>
    <t>Amount audited (Bv)</t>
  </si>
  <si>
    <t>Correct amount (Dv)</t>
  </si>
  <si>
    <t xml:space="preserve">ANNEX </t>
  </si>
  <si>
    <t>Substantive sample</t>
  </si>
  <si>
    <t>Findings</t>
  </si>
  <si>
    <t>Substantive Errors on Sample</t>
  </si>
  <si>
    <t>Sample</t>
  </si>
  <si>
    <t>Formal</t>
  </si>
  <si>
    <t>Subs</t>
  </si>
  <si>
    <t>No</t>
  </si>
  <si>
    <t>Known</t>
  </si>
  <si>
    <t>Total</t>
  </si>
  <si>
    <t>Book</t>
  </si>
  <si>
    <t>Audit</t>
  </si>
  <si>
    <t>Error</t>
  </si>
  <si>
    <t>Rate of</t>
  </si>
  <si>
    <t>Nº</t>
  </si>
  <si>
    <t>Yes / No</t>
  </si>
  <si>
    <t>Errors</t>
  </si>
  <si>
    <t>Opinion</t>
  </si>
  <si>
    <t>Obs</t>
  </si>
  <si>
    <t>Value €</t>
  </si>
  <si>
    <t>Amount €</t>
  </si>
  <si>
    <t>NIACS_1</t>
  </si>
  <si>
    <t>Yes</t>
  </si>
  <si>
    <t>NIACS_2</t>
  </si>
  <si>
    <t>NIACS_3</t>
  </si>
  <si>
    <t>NIACS_4</t>
  </si>
  <si>
    <t>NIACS_5</t>
  </si>
  <si>
    <t>NIACS_6</t>
  </si>
  <si>
    <t>NIACS_7</t>
  </si>
  <si>
    <t>NIACS_8</t>
  </si>
  <si>
    <t>NIACS_9</t>
  </si>
  <si>
    <t>NIACS_10</t>
  </si>
  <si>
    <t>NIACS_11</t>
  </si>
  <si>
    <t>NIACS_12</t>
  </si>
  <si>
    <t>NIACS_13</t>
  </si>
  <si>
    <t>NIACS_14</t>
  </si>
  <si>
    <t>NIACS_15</t>
  </si>
  <si>
    <t>NIACS_16</t>
  </si>
  <si>
    <t>NIACS_17</t>
  </si>
  <si>
    <t>NIACS_18</t>
  </si>
  <si>
    <t>NIACS_19</t>
  </si>
  <si>
    <t>NIACS_20</t>
  </si>
  <si>
    <t>NIACS_21</t>
  </si>
  <si>
    <t>NIACS_22</t>
  </si>
  <si>
    <t>NIACS_23</t>
  </si>
  <si>
    <t>NIACS_24</t>
  </si>
  <si>
    <t>NIACS_25</t>
  </si>
  <si>
    <t>NIACS_26</t>
  </si>
  <si>
    <t>NIACS_27</t>
  </si>
  <si>
    <t>NIACS_28</t>
  </si>
  <si>
    <t>NIACS_29</t>
  </si>
  <si>
    <t>NIACS_30</t>
  </si>
  <si>
    <t>NIACS_31</t>
  </si>
  <si>
    <t>NIACS_32</t>
  </si>
  <si>
    <t>NIACS_33</t>
  </si>
  <si>
    <t>NIACS_34</t>
  </si>
  <si>
    <t>NIACS_35</t>
  </si>
  <si>
    <t>NIACS_36</t>
  </si>
  <si>
    <t>NIACS_37</t>
  </si>
  <si>
    <t>NIACS_38</t>
  </si>
  <si>
    <t>NIACS_39</t>
  </si>
  <si>
    <t>NIACS_40</t>
  </si>
  <si>
    <t>NIACS_41</t>
  </si>
  <si>
    <t>NIACS_42</t>
  </si>
  <si>
    <t>total</t>
  </si>
  <si>
    <t>standard deviation</t>
  </si>
  <si>
    <t>Population/strata value</t>
  </si>
  <si>
    <t>N (Population size)</t>
  </si>
  <si>
    <t>IACS_1</t>
  </si>
  <si>
    <t>IACS_2</t>
  </si>
  <si>
    <t>IACS_3</t>
  </si>
  <si>
    <t>IACS_4</t>
  </si>
  <si>
    <t>IACS_5</t>
  </si>
  <si>
    <t>IACS_6</t>
  </si>
  <si>
    <t>IACS_7</t>
  </si>
  <si>
    <t>IACS_8</t>
  </si>
  <si>
    <t>IACS_9</t>
  </si>
  <si>
    <t>IACS_10</t>
  </si>
  <si>
    <t>IACS_11</t>
  </si>
  <si>
    <t>IACS_12</t>
  </si>
  <si>
    <t>IACS_13</t>
  </si>
  <si>
    <t>IACS_14</t>
  </si>
  <si>
    <t>IACS_15</t>
  </si>
  <si>
    <t>IACS_16</t>
  </si>
  <si>
    <t>IACS_17</t>
  </si>
  <si>
    <t>IACS_18</t>
  </si>
  <si>
    <t>IACS_19</t>
  </si>
  <si>
    <t>IACS_20</t>
  </si>
  <si>
    <t>IACS_21</t>
  </si>
  <si>
    <t>IACS_22</t>
  </si>
  <si>
    <t>IACS_23</t>
  </si>
  <si>
    <t>IACS_24</t>
  </si>
  <si>
    <t>IACS_25</t>
  </si>
  <si>
    <t>IACS_26</t>
  </si>
  <si>
    <t>IACS_27</t>
  </si>
  <si>
    <t>IACS_28</t>
  </si>
  <si>
    <t>IACS_29</t>
  </si>
  <si>
    <t>IACS_30</t>
  </si>
  <si>
    <t>IACS_31</t>
  </si>
  <si>
    <t>IACS_32</t>
  </si>
  <si>
    <t>IACS_33</t>
  </si>
  <si>
    <t>IACS_34</t>
  </si>
  <si>
    <t>IACS_35</t>
  </si>
  <si>
    <t>IACS_36</t>
  </si>
  <si>
    <t>IACS_37</t>
  </si>
  <si>
    <t>IACS_38</t>
  </si>
  <si>
    <t>IACS_39</t>
  </si>
  <si>
    <t>IACS_40</t>
  </si>
  <si>
    <t>IACS_41</t>
  </si>
  <si>
    <t>IACS_42</t>
  </si>
  <si>
    <t>IACS_43</t>
  </si>
  <si>
    <t>IACS_44</t>
  </si>
  <si>
    <t>IACS_45</t>
  </si>
  <si>
    <t>IACS_46</t>
  </si>
  <si>
    <t>IACS_47</t>
  </si>
  <si>
    <t>IACS_48</t>
  </si>
  <si>
    <t>IACS_49</t>
  </si>
  <si>
    <t>IACS_50</t>
  </si>
  <si>
    <t>IACS_51</t>
  </si>
  <si>
    <t>IACS_52</t>
  </si>
  <si>
    <t>IACS_53</t>
  </si>
  <si>
    <t>IACS_54</t>
  </si>
  <si>
    <t>IACS_55</t>
  </si>
  <si>
    <t>IACS_56</t>
  </si>
  <si>
    <t>IACS_57</t>
  </si>
  <si>
    <t>IACS_58</t>
  </si>
  <si>
    <t>IACS_59</t>
  </si>
  <si>
    <t>IACS_60</t>
  </si>
  <si>
    <t>IACS_61</t>
  </si>
  <si>
    <t>IACS_62</t>
  </si>
  <si>
    <t>IACS_63</t>
  </si>
  <si>
    <t>IACS_64</t>
  </si>
  <si>
    <t>IACS_65</t>
  </si>
  <si>
    <t>IACS_66</t>
  </si>
  <si>
    <t>IACS_67</t>
  </si>
  <si>
    <t>IACS_68</t>
  </si>
  <si>
    <t>IACS_69</t>
  </si>
  <si>
    <t>IACS_70</t>
  </si>
  <si>
    <t>IACS_71</t>
  </si>
  <si>
    <t>IACS_72</t>
  </si>
  <si>
    <t>IACS_73</t>
  </si>
  <si>
    <t>IACS_74</t>
  </si>
  <si>
    <t>IACS_75</t>
  </si>
  <si>
    <t>IACS_76</t>
  </si>
  <si>
    <t>IACS_77</t>
  </si>
  <si>
    <t>IACS_78</t>
  </si>
  <si>
    <t>IACS_79</t>
  </si>
  <si>
    <t>IACS_80</t>
  </si>
  <si>
    <t>IACS_81</t>
  </si>
  <si>
    <t>IACS_82</t>
  </si>
  <si>
    <t>IACS_83</t>
  </si>
  <si>
    <t>IACS_84</t>
  </si>
  <si>
    <t>IACS_85</t>
  </si>
  <si>
    <t>IACS_86</t>
  </si>
  <si>
    <t>IACS_87</t>
  </si>
  <si>
    <t>IACS_88</t>
  </si>
  <si>
    <t>IACS_89</t>
  </si>
  <si>
    <t>IACS_90</t>
  </si>
  <si>
    <t>IACS_91</t>
  </si>
  <si>
    <t>IACS_92</t>
  </si>
  <si>
    <t>IACS_93</t>
  </si>
  <si>
    <t>IACS_94</t>
  </si>
  <si>
    <t>IACS_95</t>
  </si>
  <si>
    <t>IACS_96</t>
  </si>
  <si>
    <t>IACS_97</t>
  </si>
  <si>
    <t>IACS_98</t>
  </si>
  <si>
    <t>IACS_99</t>
  </si>
  <si>
    <t>IACS_100</t>
  </si>
  <si>
    <t>IACS_101</t>
  </si>
  <si>
    <t>IACS_102</t>
  </si>
  <si>
    <t>IACS_103</t>
  </si>
  <si>
    <t>IACS_104</t>
  </si>
  <si>
    <t>IACS_105</t>
  </si>
  <si>
    <t>IACS_106</t>
  </si>
  <si>
    <t>IACS_107</t>
  </si>
  <si>
    <t>IACS_108</t>
  </si>
  <si>
    <t>IACS_109</t>
  </si>
  <si>
    <t>IACS_110</t>
  </si>
  <si>
    <t>IACS_111</t>
  </si>
  <si>
    <t>IACS_112</t>
  </si>
  <si>
    <t>ERRcb (J121 / H120)</t>
  </si>
  <si>
    <t>ERRcb (J51/ H50)</t>
  </si>
  <si>
    <t>ERRcb (J51/42)</t>
  </si>
  <si>
    <t>IACS_113</t>
  </si>
  <si>
    <t>IACS_114</t>
  </si>
  <si>
    <t>IACS_115</t>
  </si>
  <si>
    <t>IACS_116</t>
  </si>
  <si>
    <t>IACS_117</t>
  </si>
  <si>
    <t>IACS_118</t>
  </si>
  <si>
    <t>IACS_119</t>
  </si>
  <si>
    <t>IACS_120</t>
  </si>
  <si>
    <t>IACS_121</t>
  </si>
  <si>
    <t>IACS_122</t>
  </si>
  <si>
    <t>IACS_123</t>
  </si>
  <si>
    <t>IACS_124</t>
  </si>
  <si>
    <t>IACS_125</t>
  </si>
  <si>
    <t>IACS_126</t>
  </si>
  <si>
    <t>IACS_127</t>
  </si>
  <si>
    <t>IACS_128</t>
  </si>
  <si>
    <t>IACS_129</t>
  </si>
  <si>
    <t>IACS_130</t>
  </si>
  <si>
    <t>IACS_131</t>
  </si>
  <si>
    <t>IACS_132</t>
  </si>
  <si>
    <t>IACS_133</t>
  </si>
  <si>
    <t>IACS_134</t>
  </si>
  <si>
    <t>IACS_135</t>
  </si>
  <si>
    <t>IACS_136</t>
  </si>
  <si>
    <t>IACS_137</t>
  </si>
  <si>
    <t>IACS_138</t>
  </si>
  <si>
    <t>IACS_139</t>
  </si>
  <si>
    <t>IACS_140</t>
  </si>
  <si>
    <t>IACS_141</t>
  </si>
  <si>
    <t>IACS_142</t>
  </si>
  <si>
    <t>IACS_143</t>
  </si>
  <si>
    <t>IACS_144</t>
  </si>
  <si>
    <t>IACS_145</t>
  </si>
  <si>
    <t>IACS_146</t>
  </si>
  <si>
    <t>IACS_147</t>
  </si>
  <si>
    <t>IACS_148</t>
  </si>
  <si>
    <t>IACS_149</t>
  </si>
  <si>
    <t>IACS_150</t>
  </si>
  <si>
    <t>IACS_151</t>
  </si>
  <si>
    <t>IACS_152</t>
  </si>
  <si>
    <t>IACS_153</t>
  </si>
  <si>
    <t>IACS_154</t>
  </si>
  <si>
    <t>IACS_155</t>
  </si>
  <si>
    <t>IACS_156</t>
  </si>
  <si>
    <t>IACS_157</t>
  </si>
  <si>
    <t>IACS_158</t>
  </si>
  <si>
    <t>IACS_159</t>
  </si>
  <si>
    <t>IACS_160</t>
  </si>
  <si>
    <t>IACS_161</t>
  </si>
  <si>
    <t>IACS_162</t>
  </si>
  <si>
    <t>IACS_163</t>
  </si>
  <si>
    <t>IACS_164</t>
  </si>
  <si>
    <t>IACS_165</t>
  </si>
  <si>
    <t>IACS_166</t>
  </si>
  <si>
    <t>IACS_167</t>
  </si>
  <si>
    <t>IACS_168</t>
  </si>
  <si>
    <t>IACS_169</t>
  </si>
  <si>
    <t>IACS_170</t>
  </si>
  <si>
    <t>IACS_171</t>
  </si>
  <si>
    <t>IACS_172</t>
  </si>
  <si>
    <t>IACS_173</t>
  </si>
  <si>
    <t>IACS_174</t>
  </si>
  <si>
    <t>IACS_175</t>
  </si>
  <si>
    <t>IACS_176</t>
  </si>
  <si>
    <t>IACS_177</t>
  </si>
  <si>
    <t>IACS_178</t>
  </si>
  <si>
    <t>IACS_179</t>
  </si>
  <si>
    <t>IACS_180</t>
  </si>
  <si>
    <t>IACS_181</t>
  </si>
  <si>
    <t>IACS_182</t>
  </si>
  <si>
    <t>IACS_183</t>
  </si>
  <si>
    <t>IACS_184</t>
  </si>
  <si>
    <t>UEL</t>
  </si>
  <si>
    <t>Overstatements</t>
  </si>
  <si>
    <t>Materiality (TM - 2%)</t>
  </si>
  <si>
    <t>Interval</t>
  </si>
  <si>
    <t>Sampling needed for validating the results at strata level</t>
  </si>
  <si>
    <t>Sampling interval (Si)</t>
  </si>
  <si>
    <t>Additional sample to be tested</t>
  </si>
  <si>
    <t>Results of the error evaluation:</t>
  </si>
  <si>
    <t>Total precision (Bp + Ia)</t>
  </si>
  <si>
    <t>TPE</t>
  </si>
  <si>
    <t>Precision</t>
  </si>
  <si>
    <t>Sample - total</t>
  </si>
  <si>
    <t>Results of the error evaluation at fund level:</t>
  </si>
  <si>
    <t>STDV (weighted average)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</si>
</sst>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%"/>
    <numFmt numFmtId="178" formatCode="#,##0.0000"/>
    <numFmt numFmtId="179" formatCode="0.0000%"/>
    <numFmt numFmtId="180" formatCode="0.0000"/>
    <numFmt numFmtId="181" formatCode="0.0000000"/>
    <numFmt numFmtId="182" formatCode="0.000"/>
    <numFmt numFmtId="183" formatCode="_-* #,##0.00\ _$_-;\-* #,##0.00\ _$_-;_-* &quot;-&quot;??\ _$_-;_-@_-"/>
    <numFmt numFmtId="184" formatCode="_(* #,##0.00_);_(* \(#,##0.00\);_(* &quot;-&quot;??_);_(@_)"/>
    <numFmt numFmtId="185" formatCode="_ * #,##0.00_ ;_ * \-#,##0.00_ ;_ * &quot;-&quot;??_ ;_ @_ "/>
    <numFmt numFmtId="186" formatCode="#,##0.00;\(#,##0.00\)"/>
    <numFmt numFmtId="187" formatCode="_-* #,##0_-;\-* #,##0_-;_-* &quot;-&quot;??_-;_-@_-"/>
    <numFmt numFmtId="188" formatCode="dd/mm/yy"/>
    <numFmt numFmtId="189" formatCode="_-* #,##0.00_-;\(#,##0.00\);_-* &quot;-&quot;??_-;_-@_-"/>
    <numFmt numFmtId="190" formatCode="#,##0.000;\(#,##0.000\)"/>
    <numFmt numFmtId="191" formatCode="#,##0.00000000000"/>
    <numFmt numFmtId="192" formatCode="#,##0.00000000;\(#,##0.00000000\)"/>
    <numFmt numFmtId="193" formatCode="#,##0.000000;\(#,##0.000000\)"/>
    <numFmt numFmtId="194" formatCode="0_ ;\-0\ "/>
  </numFmts>
  <fonts count="57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8"/>
      <name val="Times New Roman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6"/>
      <name val="Arial"/>
      <family val="2"/>
    </font>
    <font>
      <b/>
      <sz val="10"/>
      <name val="Optima LT Std"/>
      <family val="2"/>
    </font>
    <font>
      <sz val="10"/>
      <name val="Optima LT Std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Optima LT Std"/>
      <family val="2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rgb="FFC00000"/>
      <name val="Optima LT Std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21" borderId="2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3" applyFont="0" applyFill="0" applyAlignment="0" applyProtection="0"/>
    <xf numFmtId="0" fontId="20" fillId="0" borderId="3" applyFont="0" applyFill="0" applyAlignment="0" applyProtection="0"/>
    <xf numFmtId="0" fontId="8" fillId="0" borderId="3" applyFont="0" applyFill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4" applyNumberFormat="0" applyFill="0" applyAlignment="0" applyProtection="0"/>
    <xf numFmtId="0" fontId="23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5" applyNumberFormat="0" applyFill="0" applyAlignment="0" applyProtection="0"/>
    <xf numFmtId="0" fontId="25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7" borderId="1" applyNumberFormat="0" applyAlignment="0" applyProtection="0"/>
    <xf numFmtId="0" fontId="29" fillId="7" borderId="1" applyNumberFormat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1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36" fillId="20" borderId="3" applyNumberFormat="0" applyAlignment="0" applyProtection="0"/>
    <xf numFmtId="0" fontId="37" fillId="20" borderId="3" applyNumberFormat="0" applyAlignment="0" applyProtection="0"/>
    <xf numFmtId="0" fontId="36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2" fontId="0" fillId="24" borderId="15" xfId="0" applyNumberFormat="1" applyFill="1" applyBorder="1" applyAlignment="1">
      <alignment vertical="center" wrapText="1"/>
    </xf>
    <xf numFmtId="4" fontId="0" fillId="24" borderId="16" xfId="0" applyNumberFormat="1" applyFill="1" applyBorder="1" applyAlignment="1">
      <alignment vertical="center"/>
    </xf>
    <xf numFmtId="4" fontId="0" fillId="24" borderId="17" xfId="0" applyNumberFormat="1" applyFill="1" applyBorder="1" applyAlignment="1">
      <alignment vertical="center"/>
    </xf>
    <xf numFmtId="4" fontId="0" fillId="24" borderId="18" xfId="0" applyNumberForma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4" borderId="15" xfId="0" applyFill="1" applyBorder="1" applyAlignment="1">
      <alignment/>
    </xf>
    <xf numFmtId="9" fontId="0" fillId="4" borderId="16" xfId="0" applyNumberFormat="1" applyFill="1" applyBorder="1" applyAlignment="1">
      <alignment horizontal="center"/>
    </xf>
    <xf numFmtId="9" fontId="0" fillId="4" borderId="17" xfId="0" applyNumberFormat="1" applyFill="1" applyBorder="1" applyAlignment="1">
      <alignment horizontal="center"/>
    </xf>
    <xf numFmtId="9" fontId="0" fillId="4" borderId="18" xfId="0" applyNumberForma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25" borderId="17" xfId="0" applyFont="1" applyFill="1" applyBorder="1" applyAlignment="1">
      <alignment horizontal="right"/>
    </xf>
    <xf numFmtId="0" fontId="3" fillId="25" borderId="1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5" fillId="0" borderId="23" xfId="0" applyNumberFormat="1" applyFont="1" applyBorder="1" applyAlignment="1">
      <alignment/>
    </xf>
    <xf numFmtId="4" fontId="0" fillId="0" borderId="23" xfId="0" applyNumberFormat="1" applyBorder="1" applyAlignment="1">
      <alignment horizontal="right"/>
    </xf>
    <xf numFmtId="10" fontId="0" fillId="0" borderId="23" xfId="0" applyNumberFormat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3" fillId="25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3" borderId="25" xfId="0" applyNumberFormat="1" applyFont="1" applyFill="1" applyBorder="1" applyAlignment="1">
      <alignment/>
    </xf>
    <xf numFmtId="4" fontId="43" fillId="8" borderId="27" xfId="156" applyNumberFormat="1" applyFont="1" applyFill="1" applyBorder="1" applyAlignment="1">
      <alignment horizontal="center" wrapText="1"/>
      <protection/>
    </xf>
    <xf numFmtId="4" fontId="3" fillId="0" borderId="0" xfId="0" applyNumberFormat="1" applyFont="1" applyFill="1" applyBorder="1" applyAlignment="1">
      <alignment horizontal="center"/>
    </xf>
    <xf numFmtId="186" fontId="44" fillId="0" borderId="10" xfId="156" applyNumberFormat="1" applyFont="1" applyBorder="1" applyAlignment="1">
      <alignment horizontal="right"/>
      <protection/>
    </xf>
    <xf numFmtId="10" fontId="0" fillId="0" borderId="10" xfId="0" applyNumberFormat="1" applyBorder="1" applyAlignment="1">
      <alignment/>
    </xf>
    <xf numFmtId="186" fontId="44" fillId="24" borderId="10" xfId="156" applyNumberFormat="1" applyFont="1" applyFill="1" applyBorder="1" applyAlignment="1">
      <alignment horizontal="right"/>
      <protection/>
    </xf>
    <xf numFmtId="4" fontId="43" fillId="0" borderId="16" xfId="156" applyNumberFormat="1" applyFont="1" applyFill="1" applyBorder="1">
      <alignment/>
      <protection/>
    </xf>
    <xf numFmtId="4" fontId="43" fillId="0" borderId="17" xfId="156" applyNumberFormat="1" applyFont="1" applyFill="1" applyBorder="1">
      <alignment/>
      <protection/>
    </xf>
    <xf numFmtId="186" fontId="3" fillId="8" borderId="2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43" fillId="22" borderId="28" xfId="156" applyNumberFormat="1" applyFont="1" applyFill="1" applyBorder="1" applyAlignment="1">
      <alignment horizontal="center"/>
      <protection/>
    </xf>
    <xf numFmtId="4" fontId="43" fillId="0" borderId="13" xfId="156" applyNumberFormat="1" applyFont="1" applyBorder="1" applyAlignment="1">
      <alignment horizontal="center"/>
      <protection/>
    </xf>
    <xf numFmtId="4" fontId="43" fillId="0" borderId="13" xfId="156" applyNumberFormat="1" applyFont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4" fontId="43" fillId="0" borderId="16" xfId="156" applyNumberFormat="1" applyFont="1" applyBorder="1" applyAlignment="1">
      <alignment horizontal="center" wrapText="1"/>
      <protection/>
    </xf>
    <xf numFmtId="4" fontId="43" fillId="0" borderId="17" xfId="156" applyNumberFormat="1" applyFont="1" applyBorder="1" applyAlignment="1">
      <alignment horizontal="center" wrapText="1"/>
      <protection/>
    </xf>
    <xf numFmtId="4" fontId="43" fillId="0" borderId="18" xfId="156" applyNumberFormat="1" applyFont="1" applyFill="1" applyBorder="1" applyAlignment="1">
      <alignment horizontal="center" wrapText="1"/>
      <protection/>
    </xf>
    <xf numFmtId="10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/>
    </xf>
    <xf numFmtId="4" fontId="3" fillId="22" borderId="27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44" fillId="0" borderId="10" xfId="156" applyNumberFormat="1" applyFont="1" applyFill="1" applyBorder="1" applyAlignment="1">
      <alignment horizontal="right"/>
      <protection/>
    </xf>
    <xf numFmtId="4" fontId="3" fillId="0" borderId="13" xfId="0" applyNumberFormat="1" applyFont="1" applyFill="1" applyBorder="1" applyAlignment="1">
      <alignment horizontal="center"/>
    </xf>
    <xf numFmtId="186" fontId="44" fillId="24" borderId="19" xfId="156" applyNumberFormat="1" applyFont="1" applyFill="1" applyBorder="1" applyAlignment="1">
      <alignment horizontal="right"/>
      <protection/>
    </xf>
    <xf numFmtId="0" fontId="0" fillId="20" borderId="19" xfId="0" applyFill="1" applyBorder="1" applyAlignment="1">
      <alignment/>
    </xf>
    <xf numFmtId="4" fontId="44" fillId="0" borderId="19" xfId="156" applyNumberFormat="1" applyFont="1" applyFill="1" applyBorder="1" applyAlignment="1">
      <alignment horizontal="right"/>
      <protection/>
    </xf>
    <xf numFmtId="0" fontId="0" fillId="20" borderId="17" xfId="0" applyFill="1" applyBorder="1" applyAlignment="1">
      <alignment/>
    </xf>
    <xf numFmtId="4" fontId="3" fillId="22" borderId="23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8" borderId="23" xfId="0" applyNumberFormat="1" applyFont="1" applyFill="1" applyBorder="1" applyAlignment="1">
      <alignment horizontal="right"/>
    </xf>
    <xf numFmtId="4" fontId="43" fillId="0" borderId="0" xfId="156" applyNumberFormat="1" applyFont="1" applyFill="1" applyBorder="1" applyAlignment="1">
      <alignment horizontal="center"/>
      <protection/>
    </xf>
    <xf numFmtId="4" fontId="3" fillId="0" borderId="0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86" fontId="44" fillId="0" borderId="30" xfId="156" applyNumberFormat="1" applyFont="1" applyFill="1" applyBorder="1" applyAlignment="1">
      <alignment horizontal="right"/>
      <protection/>
    </xf>
    <xf numFmtId="4" fontId="0" fillId="0" borderId="31" xfId="0" applyNumberFormat="1" applyBorder="1" applyAlignment="1">
      <alignment/>
    </xf>
    <xf numFmtId="186" fontId="44" fillId="0" borderId="32" xfId="156" applyNumberFormat="1" applyFont="1" applyFill="1" applyBorder="1" applyAlignment="1">
      <alignment horizontal="right"/>
      <protection/>
    </xf>
    <xf numFmtId="186" fontId="44" fillId="20" borderId="32" xfId="156" applyNumberFormat="1" applyFont="1" applyFill="1" applyBorder="1" applyAlignment="1">
      <alignment horizontal="right"/>
      <protection/>
    </xf>
    <xf numFmtId="186" fontId="0" fillId="20" borderId="32" xfId="0" applyNumberFormat="1" applyFill="1" applyBorder="1" applyAlignment="1">
      <alignment/>
    </xf>
    <xf numFmtId="186" fontId="0" fillId="20" borderId="3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43" fillId="0" borderId="27" xfId="156" applyNumberFormat="1" applyFont="1" applyFill="1" applyBorder="1" applyAlignment="1">
      <alignment horizontal="center"/>
      <protection/>
    </xf>
    <xf numFmtId="186" fontId="3" fillId="0" borderId="27" xfId="0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1" fontId="3" fillId="0" borderId="3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25" borderId="2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Alignment="1">
      <alignment/>
    </xf>
    <xf numFmtId="0" fontId="46" fillId="0" borderId="34" xfId="140" applyFont="1" applyFill="1" applyBorder="1" applyAlignment="1">
      <alignment horizontal="center" vertical="top"/>
      <protection/>
    </xf>
    <xf numFmtId="186" fontId="47" fillId="0" borderId="0" xfId="0" applyNumberFormat="1" applyFont="1" applyFill="1" applyBorder="1" applyAlignment="1" quotePrefix="1">
      <alignment horizontal="center" vertical="center"/>
    </xf>
    <xf numFmtId="0" fontId="46" fillId="0" borderId="12" xfId="140" applyFont="1" applyFill="1" applyBorder="1" applyAlignment="1">
      <alignment horizontal="center" vertical="top"/>
      <protection/>
    </xf>
    <xf numFmtId="0" fontId="46" fillId="0" borderId="35" xfId="140" applyFont="1" applyFill="1" applyBorder="1" applyAlignment="1">
      <alignment horizontal="center" vertical="top"/>
      <protection/>
    </xf>
    <xf numFmtId="188" fontId="46" fillId="0" borderId="36" xfId="140" applyNumberFormat="1" applyFont="1" applyFill="1" applyBorder="1" applyAlignment="1">
      <alignment vertical="top"/>
      <protection/>
    </xf>
    <xf numFmtId="189" fontId="46" fillId="0" borderId="34" xfId="140" applyNumberFormat="1" applyFont="1" applyFill="1" applyBorder="1" applyAlignment="1">
      <alignment horizontal="center" vertical="top"/>
      <protection/>
    </xf>
    <xf numFmtId="0" fontId="46" fillId="0" borderId="0" xfId="140" applyFont="1" applyFill="1" applyBorder="1" applyAlignment="1">
      <alignment horizontal="center" vertical="top"/>
      <protection/>
    </xf>
    <xf numFmtId="189" fontId="46" fillId="0" borderId="0" xfId="140" applyNumberFormat="1" applyFont="1" applyFill="1" applyBorder="1" applyAlignment="1">
      <alignment horizontal="center" vertical="top"/>
      <protection/>
    </xf>
    <xf numFmtId="189" fontId="46" fillId="0" borderId="12" xfId="140" applyNumberFormat="1" applyFont="1" applyFill="1" applyBorder="1" applyAlignment="1">
      <alignment horizontal="center" vertical="top"/>
      <protection/>
    </xf>
    <xf numFmtId="0" fontId="47" fillId="0" borderId="37" xfId="0" applyFont="1" applyFill="1" applyBorder="1" applyAlignment="1">
      <alignment horizontal="center" vertical="center"/>
    </xf>
    <xf numFmtId="171" fontId="47" fillId="0" borderId="38" xfId="96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186" fontId="47" fillId="0" borderId="38" xfId="0" applyNumberFormat="1" applyFont="1" applyFill="1" applyBorder="1" applyAlignment="1" quotePrefix="1">
      <alignment horizontal="center" vertical="center"/>
    </xf>
    <xf numFmtId="10" fontId="47" fillId="0" borderId="38" xfId="0" applyNumberFormat="1" applyFont="1" applyFill="1" applyBorder="1" applyAlignment="1" quotePrefix="1">
      <alignment horizontal="center" vertical="center"/>
    </xf>
    <xf numFmtId="186" fontId="47" fillId="0" borderId="39" xfId="0" applyNumberFormat="1" applyFont="1" applyFill="1" applyBorder="1" applyAlignment="1" quotePrefix="1">
      <alignment horizontal="center" vertical="center"/>
    </xf>
    <xf numFmtId="10" fontId="47" fillId="0" borderId="0" xfId="0" applyNumberFormat="1" applyFont="1" applyFill="1" applyBorder="1" applyAlignment="1" quotePrefix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171" fontId="47" fillId="0" borderId="10" xfId="96" applyFont="1" applyFill="1" applyBorder="1" applyAlignment="1">
      <alignment horizontal="center" vertical="center"/>
    </xf>
    <xf numFmtId="186" fontId="47" fillId="0" borderId="10" xfId="0" applyNumberFormat="1" applyFont="1" applyFill="1" applyBorder="1" applyAlignment="1" quotePrefix="1">
      <alignment horizontal="center" vertical="center"/>
    </xf>
    <xf numFmtId="10" fontId="47" fillId="0" borderId="10" xfId="0" applyNumberFormat="1" applyFont="1" applyFill="1" applyBorder="1" applyAlignment="1" quotePrefix="1">
      <alignment horizontal="center" vertical="center"/>
    </xf>
    <xf numFmtId="186" fontId="47" fillId="0" borderId="11" xfId="0" applyNumberFormat="1" applyFont="1" applyFill="1" applyBorder="1" applyAlignment="1" quotePrefix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171" fontId="47" fillId="0" borderId="41" xfId="96" applyFont="1" applyFill="1" applyBorder="1" applyAlignment="1">
      <alignment horizontal="center" vertical="center"/>
    </xf>
    <xf numFmtId="186" fontId="47" fillId="0" borderId="41" xfId="0" applyNumberFormat="1" applyFont="1" applyFill="1" applyBorder="1" applyAlignment="1" quotePrefix="1">
      <alignment horizontal="center" vertical="center"/>
    </xf>
    <xf numFmtId="10" fontId="47" fillId="0" borderId="41" xfId="0" applyNumberFormat="1" applyFont="1" applyFill="1" applyBorder="1" applyAlignment="1" quotePrefix="1">
      <alignment horizontal="center" vertical="center"/>
    </xf>
    <xf numFmtId="186" fontId="47" fillId="0" borderId="42" xfId="0" applyNumberFormat="1" applyFont="1" applyFill="1" applyBorder="1" applyAlignment="1" quotePrefix="1">
      <alignment horizontal="center" vertical="center"/>
    </xf>
    <xf numFmtId="0" fontId="47" fillId="0" borderId="0" xfId="0" applyFont="1" applyFill="1" applyBorder="1" applyAlignment="1">
      <alignment vertical="center"/>
    </xf>
    <xf numFmtId="171" fontId="47" fillId="0" borderId="0" xfId="96" applyFont="1" applyFill="1" applyBorder="1" applyAlignment="1">
      <alignment horizontal="center" vertical="center"/>
    </xf>
    <xf numFmtId="187" fontId="47" fillId="0" borderId="0" xfId="96" applyNumberFormat="1" applyFont="1" applyFill="1" applyBorder="1" applyAlignment="1">
      <alignment horizontal="center" vertical="center"/>
    </xf>
    <xf numFmtId="187" fontId="46" fillId="0" borderId="0" xfId="96" applyNumberFormat="1" applyFont="1" applyFill="1" applyBorder="1" applyAlignment="1">
      <alignment horizontal="center" vertical="center"/>
    </xf>
    <xf numFmtId="186" fontId="46" fillId="0" borderId="0" xfId="0" applyNumberFormat="1" applyFont="1" applyFill="1" applyBorder="1" applyAlignment="1" quotePrefix="1">
      <alignment horizontal="center" vertical="center"/>
    </xf>
    <xf numFmtId="190" fontId="47" fillId="0" borderId="0" xfId="0" applyNumberFormat="1" applyFont="1" applyFill="1" applyBorder="1" applyAlignment="1" quotePrefix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91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6" fontId="46" fillId="26" borderId="0" xfId="0" applyNumberFormat="1" applyFont="1" applyFill="1" applyBorder="1" applyAlignment="1" quotePrefix="1">
      <alignment horizontal="center" vertical="center"/>
    </xf>
    <xf numFmtId="186" fontId="46" fillId="0" borderId="0" xfId="0" applyNumberFormat="1" applyFont="1" applyFill="1" applyBorder="1" applyAlignment="1" quotePrefix="1">
      <alignment horizontal="center" vertical="center"/>
    </xf>
    <xf numFmtId="193" fontId="46" fillId="0" borderId="0" xfId="0" applyNumberFormat="1" applyFont="1" applyFill="1" applyBorder="1" applyAlignment="1" quotePrefix="1">
      <alignment horizontal="center" vertical="center"/>
    </xf>
    <xf numFmtId="186" fontId="0" fillId="0" borderId="0" xfId="0" applyNumberForma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 vertical="top"/>
    </xf>
    <xf numFmtId="171" fontId="46" fillId="0" borderId="0" xfId="96" applyFont="1" applyFill="1" applyAlignment="1">
      <alignment horizontal="center" vertical="top"/>
    </xf>
    <xf numFmtId="10" fontId="47" fillId="0" borderId="0" xfId="0" applyNumberFormat="1" applyFont="1" applyFill="1" applyBorder="1" applyAlignment="1" quotePrefix="1">
      <alignment horizontal="center" vertical="center" wrapText="1"/>
    </xf>
    <xf numFmtId="189" fontId="46" fillId="0" borderId="43" xfId="140" applyNumberFormat="1" applyFont="1" applyFill="1" applyBorder="1" applyAlignment="1">
      <alignment horizontal="center" vertical="top"/>
      <protection/>
    </xf>
    <xf numFmtId="0" fontId="46" fillId="0" borderId="43" xfId="140" applyFont="1" applyFill="1" applyBorder="1" applyAlignment="1">
      <alignment horizontal="center" vertical="top"/>
      <protection/>
    </xf>
    <xf numFmtId="187" fontId="46" fillId="0" borderId="34" xfId="140" applyNumberFormat="1" applyFont="1" applyFill="1" applyBorder="1" applyAlignment="1">
      <alignment horizontal="center" vertical="top"/>
      <protection/>
    </xf>
    <xf numFmtId="187" fontId="46" fillId="0" borderId="12" xfId="140" applyNumberFormat="1" applyFont="1" applyFill="1" applyBorder="1" applyAlignment="1">
      <alignment horizontal="center" vertical="top"/>
      <protection/>
    </xf>
    <xf numFmtId="187" fontId="47" fillId="0" borderId="38" xfId="96" applyNumberFormat="1" applyFont="1" applyFill="1" applyBorder="1" applyAlignment="1">
      <alignment horizontal="center" vertical="center"/>
    </xf>
    <xf numFmtId="187" fontId="47" fillId="0" borderId="38" xfId="0" applyNumberFormat="1" applyFont="1" applyFill="1" applyBorder="1" applyAlignment="1">
      <alignment horizontal="center" vertical="center"/>
    </xf>
    <xf numFmtId="187" fontId="47" fillId="0" borderId="10" xfId="96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87" fontId="47" fillId="0" borderId="10" xfId="0" applyNumberFormat="1" applyFont="1" applyFill="1" applyBorder="1" applyAlignment="1">
      <alignment horizontal="center" vertical="center"/>
    </xf>
    <xf numFmtId="171" fontId="55" fillId="0" borderId="10" xfId="96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Alignment="1">
      <alignment horizontal="center"/>
    </xf>
    <xf numFmtId="186" fontId="44" fillId="0" borderId="10" xfId="96" applyNumberFormat="1" applyFon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10" fontId="46" fillId="0" borderId="0" xfId="0" applyNumberFormat="1" applyFont="1" applyFill="1" applyBorder="1" applyAlignment="1" quotePrefix="1">
      <alignment horizontal="center" vertical="center"/>
    </xf>
    <xf numFmtId="186" fontId="47" fillId="0" borderId="44" xfId="153" applyNumberFormat="1" applyFont="1" applyFill="1" applyBorder="1" applyAlignment="1" quotePrefix="1">
      <alignment horizontal="center" vertical="center"/>
      <protection/>
    </xf>
    <xf numFmtId="0" fontId="47" fillId="0" borderId="40" xfId="153" applyFont="1" applyFill="1" applyBorder="1" applyAlignment="1">
      <alignment horizontal="center" vertical="center"/>
      <protection/>
    </xf>
    <xf numFmtId="187" fontId="46" fillId="0" borderId="43" xfId="140" applyNumberFormat="1" applyFont="1" applyFill="1" applyBorder="1" applyAlignment="1">
      <alignment horizontal="center" vertical="top"/>
      <protection/>
    </xf>
    <xf numFmtId="0" fontId="46" fillId="0" borderId="45" xfId="140" applyFont="1" applyFill="1" applyBorder="1" applyAlignment="1">
      <alignment horizontal="center" vertical="top"/>
      <protection/>
    </xf>
    <xf numFmtId="186" fontId="47" fillId="0" borderId="13" xfId="153" applyNumberFormat="1" applyFont="1" applyFill="1" applyBorder="1" applyAlignment="1" quotePrefix="1">
      <alignment horizontal="center" vertical="center"/>
      <protection/>
    </xf>
    <xf numFmtId="186" fontId="46" fillId="26" borderId="0" xfId="153" applyNumberFormat="1" applyFont="1" applyFill="1" applyBorder="1" applyAlignment="1" quotePrefix="1">
      <alignment horizontal="center" vertical="center"/>
      <protection/>
    </xf>
    <xf numFmtId="0" fontId="0" fillId="0" borderId="0" xfId="153">
      <alignment/>
      <protection/>
    </xf>
    <xf numFmtId="0" fontId="0" fillId="0" borderId="10" xfId="153" applyBorder="1">
      <alignment/>
      <protection/>
    </xf>
    <xf numFmtId="0" fontId="3" fillId="0" borderId="0" xfId="153" applyFont="1">
      <alignment/>
      <protection/>
    </xf>
    <xf numFmtId="0" fontId="0" fillId="0" borderId="0" xfId="153" applyFill="1">
      <alignment/>
      <protection/>
    </xf>
    <xf numFmtId="187" fontId="0" fillId="0" borderId="0" xfId="153" applyNumberFormat="1">
      <alignment/>
      <protection/>
    </xf>
    <xf numFmtId="186" fontId="47" fillId="0" borderId="0" xfId="153" applyNumberFormat="1" applyFont="1" applyFill="1" applyBorder="1" applyAlignment="1" quotePrefix="1">
      <alignment horizontal="center" vertical="center"/>
      <protection/>
    </xf>
    <xf numFmtId="0" fontId="47" fillId="0" borderId="37" xfId="153" applyFont="1" applyFill="1" applyBorder="1" applyAlignment="1">
      <alignment horizontal="center" vertical="center"/>
      <protection/>
    </xf>
    <xf numFmtId="171" fontId="47" fillId="0" borderId="38" xfId="102" applyFont="1" applyFill="1" applyBorder="1" applyAlignment="1">
      <alignment horizontal="center" vertical="center"/>
    </xf>
    <xf numFmtId="0" fontId="47" fillId="0" borderId="38" xfId="153" applyFont="1" applyFill="1" applyBorder="1" applyAlignment="1">
      <alignment horizontal="center" vertical="center"/>
      <protection/>
    </xf>
    <xf numFmtId="186" fontId="47" fillId="0" borderId="38" xfId="153" applyNumberFormat="1" applyFont="1" applyFill="1" applyBorder="1" applyAlignment="1" quotePrefix="1">
      <alignment horizontal="center" vertical="center"/>
      <protection/>
    </xf>
    <xf numFmtId="186" fontId="47" fillId="0" borderId="39" xfId="153" applyNumberFormat="1" applyFont="1" applyFill="1" applyBorder="1" applyAlignment="1" quotePrefix="1">
      <alignment horizontal="center" vertical="center"/>
      <protection/>
    </xf>
    <xf numFmtId="10" fontId="47" fillId="0" borderId="0" xfId="153" applyNumberFormat="1" applyFont="1" applyFill="1" applyBorder="1" applyAlignment="1" quotePrefix="1">
      <alignment horizontal="center" vertical="center"/>
      <protection/>
    </xf>
    <xf numFmtId="0" fontId="47" fillId="0" borderId="32" xfId="153" applyFont="1" applyFill="1" applyBorder="1" applyAlignment="1">
      <alignment horizontal="center" vertical="center"/>
      <protection/>
    </xf>
    <xf numFmtId="171" fontId="47" fillId="0" borderId="10" xfId="102" applyFont="1" applyFill="1" applyBorder="1" applyAlignment="1">
      <alignment horizontal="center" vertical="center"/>
    </xf>
    <xf numFmtId="186" fontId="47" fillId="0" borderId="10" xfId="153" applyNumberFormat="1" applyFont="1" applyFill="1" applyBorder="1" applyAlignment="1" quotePrefix="1">
      <alignment horizontal="center" vertical="center"/>
      <protection/>
    </xf>
    <xf numFmtId="186" fontId="47" fillId="0" borderId="11" xfId="153" applyNumberFormat="1" applyFont="1" applyFill="1" applyBorder="1" applyAlignment="1" quotePrefix="1">
      <alignment horizontal="center" vertical="center"/>
      <protection/>
    </xf>
    <xf numFmtId="171" fontId="47" fillId="0" borderId="41" xfId="102" applyFont="1" applyFill="1" applyBorder="1" applyAlignment="1">
      <alignment horizontal="center" vertical="center"/>
    </xf>
    <xf numFmtId="186" fontId="47" fillId="0" borderId="41" xfId="153" applyNumberFormat="1" applyFont="1" applyFill="1" applyBorder="1" applyAlignment="1" quotePrefix="1">
      <alignment horizontal="center" vertical="center"/>
      <protection/>
    </xf>
    <xf numFmtId="187" fontId="46" fillId="0" borderId="0" xfId="102" applyNumberFormat="1" applyFont="1" applyFill="1" applyBorder="1" applyAlignment="1">
      <alignment horizontal="center" vertical="center"/>
    </xf>
    <xf numFmtId="186" fontId="46" fillId="0" borderId="0" xfId="153" applyNumberFormat="1" applyFont="1" applyFill="1" applyBorder="1" applyAlignment="1" quotePrefix="1">
      <alignment horizontal="center" vertical="center"/>
      <protection/>
    </xf>
    <xf numFmtId="0" fontId="0" fillId="0" borderId="0" xfId="153" applyBorder="1">
      <alignment/>
      <protection/>
    </xf>
    <xf numFmtId="187" fontId="47" fillId="0" borderId="38" xfId="102" applyNumberFormat="1" applyFont="1" applyFill="1" applyBorder="1" applyAlignment="1">
      <alignment horizontal="center" vertical="center"/>
    </xf>
    <xf numFmtId="187" fontId="47" fillId="0" borderId="38" xfId="153" applyNumberFormat="1" applyFont="1" applyFill="1" applyBorder="1" applyAlignment="1">
      <alignment horizontal="center" vertical="center"/>
      <protection/>
    </xf>
    <xf numFmtId="187" fontId="47" fillId="0" borderId="10" xfId="102" applyNumberFormat="1" applyFont="1" applyFill="1" applyBorder="1" applyAlignment="1">
      <alignment horizontal="center" vertical="center"/>
    </xf>
    <xf numFmtId="0" fontId="47" fillId="0" borderId="10" xfId="153" applyFont="1" applyFill="1" applyBorder="1" applyAlignment="1">
      <alignment horizontal="center" vertical="center"/>
      <protection/>
    </xf>
    <xf numFmtId="187" fontId="47" fillId="0" borderId="10" xfId="153" applyNumberFormat="1" applyFont="1" applyFill="1" applyBorder="1" applyAlignment="1">
      <alignment horizontal="center" vertical="center"/>
      <protection/>
    </xf>
    <xf numFmtId="0" fontId="0" fillId="0" borderId="41" xfId="153" applyBorder="1">
      <alignment/>
      <protection/>
    </xf>
    <xf numFmtId="4" fontId="0" fillId="0" borderId="42" xfId="153" applyNumberFormat="1" applyBorder="1" applyAlignment="1">
      <alignment horizontal="center"/>
      <protection/>
    </xf>
    <xf numFmtId="4" fontId="46" fillId="0" borderId="0" xfId="153" applyNumberFormat="1" applyFont="1" applyFill="1" applyBorder="1" applyAlignment="1" quotePrefix="1">
      <alignment horizontal="center" vertical="center"/>
      <protection/>
    </xf>
    <xf numFmtId="2" fontId="46" fillId="0" borderId="0" xfId="0" applyNumberFormat="1" applyFont="1" applyFill="1" applyBorder="1" applyAlignment="1" quotePrefix="1">
      <alignment horizontal="center" vertical="center"/>
    </xf>
    <xf numFmtId="187" fontId="46" fillId="0" borderId="0" xfId="96" applyNumberFormat="1" applyFont="1" applyFill="1" applyAlignment="1">
      <alignment horizontal="center" vertical="center"/>
    </xf>
    <xf numFmtId="18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1" fontId="46" fillId="0" borderId="10" xfId="96" applyFont="1" applyFill="1" applyBorder="1" applyAlignment="1">
      <alignment horizontal="center" vertical="top"/>
    </xf>
    <xf numFmtId="43" fontId="3" fillId="0" borderId="10" xfId="0" applyNumberFormat="1" applyFont="1" applyBorder="1" applyAlignment="1">
      <alignment/>
    </xf>
    <xf numFmtId="171" fontId="46" fillId="0" borderId="10" xfId="96" applyFont="1" applyFill="1" applyBorder="1" applyAlignment="1">
      <alignment horizontal="right" vertical="top"/>
    </xf>
    <xf numFmtId="3" fontId="46" fillId="0" borderId="10" xfId="0" applyNumberFormat="1" applyFont="1" applyFill="1" applyBorder="1" applyAlignment="1">
      <alignment horizontal="right" vertical="top"/>
    </xf>
    <xf numFmtId="4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87" fontId="46" fillId="0" borderId="10" xfId="96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87" fontId="0" fillId="0" borderId="0" xfId="0" applyNumberFormat="1" applyBorder="1" applyAlignment="1">
      <alignment/>
    </xf>
    <xf numFmtId="171" fontId="46" fillId="0" borderId="0" xfId="96" applyFont="1" applyFill="1" applyBorder="1" applyAlignment="1">
      <alignment horizontal="right" vertical="top"/>
    </xf>
    <xf numFmtId="194" fontId="46" fillId="0" borderId="10" xfId="96" applyNumberFormat="1" applyFont="1" applyFill="1" applyBorder="1" applyAlignment="1">
      <alignment horizontal="right" vertical="top"/>
    </xf>
    <xf numFmtId="4" fontId="6" fillId="0" borderId="46" xfId="0" applyNumberFormat="1" applyFont="1" applyFill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45" fillId="0" borderId="0" xfId="0" applyFont="1" applyFill="1" applyAlignment="1">
      <alignment horizontal="center" vertical="top"/>
    </xf>
    <xf numFmtId="0" fontId="46" fillId="0" borderId="15" xfId="140" applyFont="1" applyFill="1" applyBorder="1" applyAlignment="1">
      <alignment horizontal="center" vertical="top"/>
      <protection/>
    </xf>
    <xf numFmtId="0" fontId="46" fillId="0" borderId="47" xfId="140" applyFont="1" applyFill="1" applyBorder="1" applyAlignment="1">
      <alignment horizontal="center" vertical="top"/>
      <protection/>
    </xf>
    <xf numFmtId="0" fontId="46" fillId="0" borderId="28" xfId="140" applyFont="1" applyFill="1" applyBorder="1" applyAlignment="1">
      <alignment horizontal="center" vertical="top"/>
      <protection/>
    </xf>
    <xf numFmtId="0" fontId="56" fillId="0" borderId="15" xfId="0" applyFont="1" applyBorder="1" applyAlignment="1">
      <alignment horizontal="center" wrapText="1"/>
    </xf>
    <xf numFmtId="0" fontId="56" fillId="0" borderId="47" xfId="0" applyFont="1" applyBorder="1" applyAlignment="1">
      <alignment horizontal="center" wrapText="1"/>
    </xf>
    <xf numFmtId="0" fontId="56" fillId="0" borderId="28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4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8" xfId="0" applyFont="1" applyBorder="1" applyAlignment="1">
      <alignment wrapText="1"/>
    </xf>
    <xf numFmtId="0" fontId="0" fillId="0" borderId="23" xfId="0" applyBorder="1" applyAlignment="1">
      <alignment wrapText="1"/>
    </xf>
    <xf numFmtId="0" fontId="6" fillId="0" borderId="48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6" fillId="0" borderId="15" xfId="0" applyFont="1" applyFill="1" applyBorder="1" applyAlignment="1">
      <alignment horizontal="center" wrapText="1"/>
    </xf>
    <xf numFmtId="0" fontId="56" fillId="0" borderId="47" xfId="0" applyFont="1" applyFill="1" applyBorder="1" applyAlignment="1">
      <alignment horizontal="center" wrapText="1"/>
    </xf>
    <xf numFmtId="0" fontId="56" fillId="0" borderId="28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0" xfId="153" applyFont="1" applyFill="1" applyAlignment="1">
      <alignment horizontal="center" vertical="top"/>
      <protection/>
    </xf>
    <xf numFmtId="0" fontId="46" fillId="0" borderId="36" xfId="140" applyFont="1" applyFill="1" applyBorder="1" applyAlignment="1">
      <alignment horizontal="center" vertical="top"/>
      <protection/>
    </xf>
    <xf numFmtId="0" fontId="46" fillId="0" borderId="49" xfId="140" applyFont="1" applyFill="1" applyBorder="1" applyAlignment="1">
      <alignment horizontal="center" vertical="top"/>
      <protection/>
    </xf>
    <xf numFmtId="0" fontId="46" fillId="0" borderId="50" xfId="140" applyFont="1" applyFill="1" applyBorder="1" applyAlignment="1">
      <alignment horizontal="center" vertical="top"/>
      <protection/>
    </xf>
    <xf numFmtId="0" fontId="56" fillId="0" borderId="36" xfId="153" applyFont="1" applyBorder="1" applyAlignment="1">
      <alignment horizontal="center" wrapText="1"/>
      <protection/>
    </xf>
    <xf numFmtId="0" fontId="56" fillId="0" borderId="49" xfId="153" applyFont="1" applyBorder="1" applyAlignment="1">
      <alignment horizontal="center" wrapText="1"/>
      <protection/>
    </xf>
    <xf numFmtId="0" fontId="56" fillId="0" borderId="50" xfId="153" applyFont="1" applyBorder="1" applyAlignment="1">
      <alignment horizontal="center" wrapText="1"/>
      <protection/>
    </xf>
  </cellXfs>
  <cellStyles count="16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12" xfId="98"/>
    <cellStyle name="Comma 13" xfId="99"/>
    <cellStyle name="Comma 2" xfId="100"/>
    <cellStyle name="Comma 2 2" xfId="101"/>
    <cellStyle name="Comma 3" xfId="102"/>
    <cellStyle name="Currency" xfId="103"/>
    <cellStyle name="Currency [0]" xfId="104"/>
    <cellStyle name="Explanatory Text" xfId="105"/>
    <cellStyle name="Explanatory Text 2" xfId="106"/>
    <cellStyle name="Explanatory Text 3" xfId="107"/>
    <cellStyle name="Followed Hyperlink" xfId="108"/>
    <cellStyle name="FormatedNumberBorderPatern" xfId="109"/>
    <cellStyle name="FormatedNumberBorderPatern 2" xfId="110"/>
    <cellStyle name="FormatedNumberBorderPatern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Hyperlink" xfId="127"/>
    <cellStyle name="Input" xfId="128"/>
    <cellStyle name="Input 2" xfId="129"/>
    <cellStyle name="Input 3" xfId="130"/>
    <cellStyle name="Linked Cell" xfId="131"/>
    <cellStyle name="Linked Cell 2" xfId="132"/>
    <cellStyle name="Linked Cell 3" xfId="133"/>
    <cellStyle name="Neutral" xfId="134"/>
    <cellStyle name="Neutral 2" xfId="135"/>
    <cellStyle name="Neutral 3" xfId="136"/>
    <cellStyle name="Normal 16" xfId="137"/>
    <cellStyle name="Normal 17" xfId="138"/>
    <cellStyle name="Normal 18" xfId="139"/>
    <cellStyle name="Normal 2" xfId="140"/>
    <cellStyle name="Normal 2 2" xfId="141"/>
    <cellStyle name="Normal 2 3" xfId="142"/>
    <cellStyle name="Normal 2 4" xfId="143"/>
    <cellStyle name="Normal 2 5" xfId="144"/>
    <cellStyle name="Normal 2 6" xfId="145"/>
    <cellStyle name="Normal 2 7" xfId="146"/>
    <cellStyle name="Normal 3" xfId="147"/>
    <cellStyle name="Normal 3 2" xfId="148"/>
    <cellStyle name="Normal 3 3" xfId="149"/>
    <cellStyle name="Normal 3 4" xfId="150"/>
    <cellStyle name="Normal 4" xfId="151"/>
    <cellStyle name="Normal 5" xfId="152"/>
    <cellStyle name="Normal 6" xfId="153"/>
    <cellStyle name="Normal 7" xfId="154"/>
    <cellStyle name="Normal 8" xfId="155"/>
    <cellStyle name="Normal_Sheet1" xfId="156"/>
    <cellStyle name="Note" xfId="157"/>
    <cellStyle name="Note 2" xfId="158"/>
    <cellStyle name="Note 3" xfId="159"/>
    <cellStyle name="Output" xfId="160"/>
    <cellStyle name="Output 2" xfId="161"/>
    <cellStyle name="Output 3" xfId="162"/>
    <cellStyle name="Percent" xfId="163"/>
    <cellStyle name="Percent 12" xfId="164"/>
    <cellStyle name="Percent 2" xfId="165"/>
    <cellStyle name="Title" xfId="166"/>
    <cellStyle name="Title 2" xfId="167"/>
    <cellStyle name="Total" xfId="168"/>
    <cellStyle name="Total 2" xfId="169"/>
    <cellStyle name="Total 3" xfId="170"/>
    <cellStyle name="Warning Text" xfId="171"/>
    <cellStyle name="Warning Text 2" xfId="172"/>
    <cellStyle name="Warning Text 3" xfId="173"/>
  </cellStyles>
  <dxfs count="28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171450</xdr:rowOff>
    </xdr:from>
    <xdr:to>
      <xdr:col>12</xdr:col>
      <xdr:colOff>171450</xdr:colOff>
      <xdr:row>7</xdr:row>
      <xdr:rowOff>19050</xdr:rowOff>
    </xdr:to>
    <xdr:sp>
      <xdr:nvSpPr>
        <xdr:cNvPr id="1" name="AutoShape 4"/>
        <xdr:cNvSpPr>
          <a:spLocks/>
        </xdr:cNvSpPr>
      </xdr:nvSpPr>
      <xdr:spPr>
        <a:xfrm rot="5400000" flipH="1" flipV="1">
          <a:off x="6257925" y="1238250"/>
          <a:ext cx="7791450" cy="219075"/>
        </a:xfrm>
        <a:prstGeom prst="bentConnector4">
          <a:avLst>
            <a:gd name="adj1" fmla="val -154347"/>
            <a:gd name="adj2" fmla="val 489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19050</xdr:rowOff>
    </xdr:from>
    <xdr:to>
      <xdr:col>8</xdr:col>
      <xdr:colOff>0</xdr:colOff>
      <xdr:row>17</xdr:row>
      <xdr:rowOff>47625</xdr:rowOff>
    </xdr:to>
    <xdr:sp>
      <xdr:nvSpPr>
        <xdr:cNvPr id="2" name="AutoShape 6"/>
        <xdr:cNvSpPr>
          <a:spLocks/>
        </xdr:cNvSpPr>
      </xdr:nvSpPr>
      <xdr:spPr>
        <a:xfrm>
          <a:off x="6257925" y="2809875"/>
          <a:ext cx="3286125" cy="628650"/>
        </a:xfrm>
        <a:prstGeom prst="bentConnector3">
          <a:avLst>
            <a:gd name="adj" fmla="val 498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57150</xdr:rowOff>
    </xdr:from>
    <xdr:to>
      <xdr:col>10</xdr:col>
      <xdr:colOff>676275</xdr:colOff>
      <xdr:row>18</xdr:row>
      <xdr:rowOff>28575</xdr:rowOff>
    </xdr:to>
    <xdr:sp>
      <xdr:nvSpPr>
        <xdr:cNvPr id="3" name="AutoShape 8"/>
        <xdr:cNvSpPr>
          <a:spLocks/>
        </xdr:cNvSpPr>
      </xdr:nvSpPr>
      <xdr:spPr>
        <a:xfrm rot="10800000">
          <a:off x="6276975" y="3228975"/>
          <a:ext cx="6305550" cy="3810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238125</xdr:colOff>
      <xdr:row>17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14744700" y="1295400"/>
          <a:ext cx="238125" cy="2095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57150</xdr:rowOff>
    </xdr:from>
    <xdr:to>
      <xdr:col>14</xdr:col>
      <xdr:colOff>238125</xdr:colOff>
      <xdr:row>24</xdr:row>
      <xdr:rowOff>161925</xdr:rowOff>
    </xdr:to>
    <xdr:sp>
      <xdr:nvSpPr>
        <xdr:cNvPr id="5" name="AutoShape 12"/>
        <xdr:cNvSpPr>
          <a:spLocks/>
        </xdr:cNvSpPr>
      </xdr:nvSpPr>
      <xdr:spPr>
        <a:xfrm rot="10800000" flipV="1">
          <a:off x="6257925" y="3638550"/>
          <a:ext cx="9201150" cy="10763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 rot="5400000" flipH="1" flipV="1">
          <a:off x="1000125" y="0"/>
          <a:ext cx="6972300" cy="0"/>
        </a:xfrm>
        <a:prstGeom prst="bentConnector4">
          <a:avLst>
            <a:gd name="adj1" fmla="val -154347"/>
            <a:gd name="adj2" fmla="val 489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 rot="5400000" flipH="1" flipV="1">
          <a:off x="2552700" y="0"/>
          <a:ext cx="7648575" cy="0"/>
        </a:xfrm>
        <a:prstGeom prst="bentConnector4">
          <a:avLst>
            <a:gd name="adj1" fmla="val -154347"/>
            <a:gd name="adj2" fmla="val 489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 rot="5400000" flipH="1" flipV="1">
          <a:off x="1000125" y="0"/>
          <a:ext cx="7667625" cy="0"/>
        </a:xfrm>
        <a:prstGeom prst="bentConnector4">
          <a:avLst>
            <a:gd name="adj1" fmla="val -154347"/>
            <a:gd name="adj2" fmla="val 489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171450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 rot="5400000" flipH="1" flipV="1">
          <a:off x="2047875" y="0"/>
          <a:ext cx="7467600" cy="0"/>
        </a:xfrm>
        <a:prstGeom prst="bentConnector4">
          <a:avLst>
            <a:gd name="adj1" fmla="val -154347"/>
            <a:gd name="adj2" fmla="val 489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171450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 rot="5400000" flipH="1" flipV="1">
          <a:off x="2047875" y="0"/>
          <a:ext cx="7791450" cy="0"/>
        </a:xfrm>
        <a:prstGeom prst="bentConnector4">
          <a:avLst>
            <a:gd name="adj1" fmla="val -154347"/>
            <a:gd name="adj2" fmla="val 489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zoomScalePageLayoutView="0" workbookViewId="0" topLeftCell="A5">
      <selection activeCell="A37" sqref="A37"/>
    </sheetView>
  </sheetViews>
  <sheetFormatPr defaultColWidth="9.140625" defaultRowHeight="12.75"/>
  <cols>
    <col min="1" max="1" width="66.421875" style="0" bestFit="1" customWidth="1"/>
    <col min="2" max="3" width="13.7109375" style="0" customWidth="1"/>
    <col min="4" max="4" width="11.421875" style="0" customWidth="1"/>
    <col min="5" max="5" width="11.8515625" style="0" customWidth="1"/>
    <col min="6" max="6" width="11.7109375" style="0" bestFit="1" customWidth="1"/>
    <col min="7" max="7" width="5.140625" style="13" customWidth="1"/>
    <col min="9" max="9" width="18.8515625" style="0" customWidth="1"/>
    <col min="10" max="10" width="16.57421875" style="0" customWidth="1"/>
    <col min="11" max="11" width="15.28125" style="0" customWidth="1"/>
    <col min="12" max="12" width="14.28125" style="0" customWidth="1"/>
    <col min="13" max="13" width="13.00390625" style="2" customWidth="1"/>
    <col min="14" max="14" width="7.140625" style="4" customWidth="1"/>
    <col min="15" max="15" width="13.421875" style="0" customWidth="1"/>
    <col min="16" max="16" width="12.140625" style="0" customWidth="1"/>
  </cols>
  <sheetData>
    <row r="2" ht="15.75">
      <c r="A2" s="1" t="s">
        <v>26</v>
      </c>
    </row>
    <row r="4" spans="1:3" ht="13.5" thickBot="1">
      <c r="A4" s="2"/>
      <c r="B4" s="2"/>
      <c r="C4" s="2"/>
    </row>
    <row r="5" spans="1:16" ht="29.25" thickBot="1">
      <c r="A5" s="16" t="s">
        <v>8</v>
      </c>
      <c r="B5" s="17">
        <f>1250000</f>
        <v>1250000</v>
      </c>
      <c r="C5" s="18">
        <f>1250000</f>
        <v>1250000</v>
      </c>
      <c r="D5" s="18">
        <f>1250000</f>
        <v>1250000</v>
      </c>
      <c r="E5" s="18">
        <f>1250000</f>
        <v>1250000</v>
      </c>
      <c r="F5" s="19">
        <f>1250000</f>
        <v>1250000</v>
      </c>
      <c r="I5" s="67" t="s">
        <v>27</v>
      </c>
      <c r="J5" s="68" t="s">
        <v>28</v>
      </c>
      <c r="K5" s="68" t="s">
        <v>20</v>
      </c>
      <c r="L5" s="69" t="s">
        <v>21</v>
      </c>
      <c r="M5" s="63" t="s">
        <v>16</v>
      </c>
      <c r="N5" s="83"/>
      <c r="O5" s="54" t="s">
        <v>17</v>
      </c>
      <c r="P5" s="94" t="s">
        <v>18</v>
      </c>
    </row>
    <row r="6" spans="1:16" ht="14.25">
      <c r="A6" s="100" t="s">
        <v>1</v>
      </c>
      <c r="B6" s="96">
        <f>B5*2/100</f>
        <v>25000</v>
      </c>
      <c r="C6" s="96">
        <f>C5*2/100</f>
        <v>25000</v>
      </c>
      <c r="D6" s="14">
        <f>D5*2/100</f>
        <v>25000</v>
      </c>
      <c r="E6" s="14">
        <f>E5*2/100</f>
        <v>25000</v>
      </c>
      <c r="F6" s="15">
        <f>F5*2/100</f>
        <v>25000</v>
      </c>
      <c r="I6" s="64"/>
      <c r="J6" s="64"/>
      <c r="K6" s="65"/>
      <c r="L6" s="66"/>
      <c r="M6" s="75">
        <v>8187.5</v>
      </c>
      <c r="N6" s="55"/>
      <c r="O6" s="85"/>
      <c r="P6" s="86"/>
    </row>
    <row r="7" spans="1:16" ht="15">
      <c r="A7" s="100" t="s">
        <v>25</v>
      </c>
      <c r="B7" s="43">
        <f>0.1*B6</f>
        <v>2500</v>
      </c>
      <c r="C7" s="43">
        <f>0.1*C6</f>
        <v>2500</v>
      </c>
      <c r="D7" s="5">
        <f>D6/10</f>
        <v>2500</v>
      </c>
      <c r="E7" s="5">
        <f>E6/10</f>
        <v>2500</v>
      </c>
      <c r="F7" s="9">
        <f>F6/10</f>
        <v>2500</v>
      </c>
      <c r="I7" s="56">
        <v>134.0118</v>
      </c>
      <c r="J7" s="56">
        <v>131.721</v>
      </c>
      <c r="K7" s="56">
        <f>I7-J7</f>
        <v>2.29079999999999</v>
      </c>
      <c r="L7" s="57">
        <f>K7/I7</f>
        <v>0.017094017094017023</v>
      </c>
      <c r="M7" s="5">
        <f>L7*$M$6</f>
        <v>139.95726495726439</v>
      </c>
      <c r="N7" s="220" t="s">
        <v>23</v>
      </c>
      <c r="O7" s="87">
        <f>(7.76-6.3-1)*M7</f>
        <v>64.38034188034162</v>
      </c>
      <c r="P7" s="88">
        <f>M7+O7</f>
        <v>204.33760683760602</v>
      </c>
    </row>
    <row r="8" spans="1:16" ht="15">
      <c r="A8" s="100" t="s">
        <v>2</v>
      </c>
      <c r="B8" s="43">
        <v>8187.5</v>
      </c>
      <c r="C8" s="43">
        <v>8187.5</v>
      </c>
      <c r="D8" s="5">
        <v>12963.15</v>
      </c>
      <c r="E8" s="5">
        <v>17750</v>
      </c>
      <c r="F8" s="10">
        <v>23531</v>
      </c>
      <c r="I8" s="56">
        <v>158.0652</v>
      </c>
      <c r="J8" s="56">
        <v>115.6854</v>
      </c>
      <c r="K8" s="56">
        <f aca="true" t="shared" si="0" ref="K8:K17">I8-J8</f>
        <v>42.3798</v>
      </c>
      <c r="L8" s="57">
        <f>K8/I8</f>
        <v>0.26811594202898553</v>
      </c>
      <c r="M8" s="5">
        <f>L8*$M$6</f>
        <v>2195.199275362319</v>
      </c>
      <c r="N8" s="221"/>
      <c r="O8" s="89">
        <f>(4.75-3-1)*M8</f>
        <v>1646.3994565217392</v>
      </c>
      <c r="P8" s="9">
        <f aca="true" t="shared" si="1" ref="P8:P17">M8+O8</f>
        <v>3841.598731884058</v>
      </c>
    </row>
    <row r="9" spans="1:16" ht="15.75" thickBot="1">
      <c r="A9" s="100"/>
      <c r="B9" s="44"/>
      <c r="C9" s="44"/>
      <c r="D9" s="20"/>
      <c r="E9" s="20"/>
      <c r="F9" s="21"/>
      <c r="I9" s="56">
        <v>1885.3284</v>
      </c>
      <c r="J9" s="56">
        <v>1825.7676000000001</v>
      </c>
      <c r="K9" s="56">
        <f t="shared" si="0"/>
        <v>59.56079999999997</v>
      </c>
      <c r="L9" s="57">
        <f>K9/I9</f>
        <v>0.03159173754556499</v>
      </c>
      <c r="M9" s="5">
        <f>L9*$M$6</f>
        <v>258.65735115431335</v>
      </c>
      <c r="N9" s="221"/>
      <c r="O9" s="89">
        <f>(6.3-4.75-1)*M9</f>
        <v>142.26154313487228</v>
      </c>
      <c r="P9" s="9">
        <f t="shared" si="1"/>
        <v>400.91889428918563</v>
      </c>
    </row>
    <row r="10" spans="1:16" ht="15.75" thickBot="1">
      <c r="A10" s="24" t="s">
        <v>3</v>
      </c>
      <c r="B10" s="25">
        <v>0.95</v>
      </c>
      <c r="C10" s="26">
        <v>0.95</v>
      </c>
      <c r="D10" s="26">
        <v>0.85</v>
      </c>
      <c r="E10" s="26">
        <v>0.75</v>
      </c>
      <c r="F10" s="27">
        <v>0.65</v>
      </c>
      <c r="I10" s="56">
        <v>2157.9336000000003</v>
      </c>
      <c r="J10" s="56">
        <v>2154.4974</v>
      </c>
      <c r="K10" s="56">
        <f t="shared" si="0"/>
        <v>3.436200000000099</v>
      </c>
      <c r="L10" s="57">
        <f>K10/I10</f>
        <v>0.0015923566878981348</v>
      </c>
      <c r="M10" s="5">
        <f>L10*$M$6</f>
        <v>13.037420382165978</v>
      </c>
      <c r="N10" s="221"/>
      <c r="O10" s="89">
        <f>(9.16-7.76-1)*M10</f>
        <v>5.214968152866396</v>
      </c>
      <c r="P10" s="9">
        <f t="shared" si="1"/>
        <v>18.252388535032374</v>
      </c>
    </row>
    <row r="11" spans="1:16" ht="15">
      <c r="A11" s="100" t="s">
        <v>4</v>
      </c>
      <c r="B11" s="97">
        <v>184</v>
      </c>
      <c r="C11" s="97">
        <v>184</v>
      </c>
      <c r="D11" s="22">
        <v>112</v>
      </c>
      <c r="E11" s="22">
        <v>80</v>
      </c>
      <c r="F11" s="23">
        <v>61</v>
      </c>
      <c r="I11" s="58">
        <v>30601.651800000003</v>
      </c>
      <c r="J11" s="58">
        <v>30579.889200000005</v>
      </c>
      <c r="K11" s="58">
        <f t="shared" si="0"/>
        <v>21.7625999999982</v>
      </c>
      <c r="L11" s="70"/>
      <c r="M11" s="74">
        <f>K11</f>
        <v>21.7625999999982</v>
      </c>
      <c r="N11" s="221"/>
      <c r="O11" s="90"/>
      <c r="P11" s="9">
        <f t="shared" si="1"/>
        <v>21.7625999999982</v>
      </c>
    </row>
    <row r="12" spans="1:16" ht="15">
      <c r="A12" s="100"/>
      <c r="B12" s="43"/>
      <c r="C12" s="43"/>
      <c r="D12" s="6"/>
      <c r="E12" s="6"/>
      <c r="F12" s="10"/>
      <c r="I12" s="58">
        <v>32620.992000000002</v>
      </c>
      <c r="J12" s="58">
        <v>32160.5412</v>
      </c>
      <c r="K12" s="58">
        <f t="shared" si="0"/>
        <v>460.45080000000235</v>
      </c>
      <c r="L12" s="70"/>
      <c r="M12" s="74">
        <f aca="true" t="shared" si="2" ref="M12:M17">K12</f>
        <v>460.45080000000235</v>
      </c>
      <c r="N12" s="221"/>
      <c r="O12" s="90"/>
      <c r="P12" s="9">
        <f t="shared" si="1"/>
        <v>460.45080000000235</v>
      </c>
    </row>
    <row r="13" spans="1:16" ht="15">
      <c r="A13" s="101" t="s">
        <v>10</v>
      </c>
      <c r="B13" s="45">
        <v>1</v>
      </c>
      <c r="C13" s="45">
        <v>11</v>
      </c>
      <c r="D13" s="41"/>
      <c r="E13" s="41"/>
      <c r="F13" s="42"/>
      <c r="I13" s="58">
        <v>92076.4152</v>
      </c>
      <c r="J13" s="58">
        <v>91981.347</v>
      </c>
      <c r="K13" s="58">
        <f t="shared" si="0"/>
        <v>95.0682000000088</v>
      </c>
      <c r="L13" s="70"/>
      <c r="M13" s="74">
        <f t="shared" si="2"/>
        <v>95.0682000000088</v>
      </c>
      <c r="N13" s="221"/>
      <c r="O13" s="90"/>
      <c r="P13" s="9">
        <f t="shared" si="1"/>
        <v>95.0682000000088</v>
      </c>
    </row>
    <row r="14" spans="1:16" ht="15">
      <c r="A14" s="100"/>
      <c r="B14" s="43"/>
      <c r="C14" s="43"/>
      <c r="D14" s="6"/>
      <c r="E14" s="6"/>
      <c r="F14" s="10"/>
      <c r="I14" s="58">
        <v>107274.72780000001</v>
      </c>
      <c r="J14" s="58">
        <v>106597.7964</v>
      </c>
      <c r="K14" s="58">
        <f t="shared" si="0"/>
        <v>676.9314000000013</v>
      </c>
      <c r="L14" s="71"/>
      <c r="M14" s="74">
        <f t="shared" si="2"/>
        <v>676.9314000000013</v>
      </c>
      <c r="N14" s="221"/>
      <c r="O14" s="91"/>
      <c r="P14" s="9">
        <f t="shared" si="1"/>
        <v>676.9314000000013</v>
      </c>
    </row>
    <row r="15" spans="1:16" ht="15">
      <c r="A15" s="101" t="s">
        <v>11</v>
      </c>
      <c r="B15" s="45">
        <v>1500</v>
      </c>
      <c r="C15" s="45">
        <f>I18</f>
        <v>609491.3934</v>
      </c>
      <c r="D15" s="41"/>
      <c r="E15" s="41"/>
      <c r="F15" s="42"/>
      <c r="I15" s="58">
        <v>110261.931</v>
      </c>
      <c r="J15" s="58">
        <v>109410.89880000001</v>
      </c>
      <c r="K15" s="58">
        <f t="shared" si="0"/>
        <v>851.0321999999869</v>
      </c>
      <c r="L15" s="71"/>
      <c r="M15" s="74">
        <f t="shared" si="2"/>
        <v>851.0321999999869</v>
      </c>
      <c r="N15" s="221"/>
      <c r="O15" s="91"/>
      <c r="P15" s="9">
        <f t="shared" si="1"/>
        <v>851.0321999999869</v>
      </c>
    </row>
    <row r="16" spans="1:16" ht="15">
      <c r="A16" s="100"/>
      <c r="B16" s="43"/>
      <c r="C16" s="43"/>
      <c r="D16" s="6"/>
      <c r="E16" s="6"/>
      <c r="F16" s="10"/>
      <c r="I16" s="58">
        <v>114410.56980000001</v>
      </c>
      <c r="J16" s="58">
        <v>114302.9022</v>
      </c>
      <c r="K16" s="58">
        <f t="shared" si="0"/>
        <v>107.66760000001523</v>
      </c>
      <c r="L16" s="71"/>
      <c r="M16" s="74">
        <f t="shared" si="2"/>
        <v>107.66760000001523</v>
      </c>
      <c r="N16" s="221"/>
      <c r="O16" s="91"/>
      <c r="P16" s="9">
        <f t="shared" si="1"/>
        <v>107.66760000001523</v>
      </c>
    </row>
    <row r="17" spans="1:16" ht="17.25" customHeight="1" thickBot="1">
      <c r="A17" s="100" t="s">
        <v>5</v>
      </c>
      <c r="B17" s="46">
        <v>500</v>
      </c>
      <c r="C17" s="46">
        <f>K18</f>
        <v>3620.6094000000076</v>
      </c>
      <c r="D17" s="7"/>
      <c r="E17" s="7"/>
      <c r="F17" s="11"/>
      <c r="I17" s="76">
        <v>117909.76680000001</v>
      </c>
      <c r="J17" s="76">
        <v>116609.73780000002</v>
      </c>
      <c r="K17" s="76">
        <f t="shared" si="0"/>
        <v>1300.028999999995</v>
      </c>
      <c r="L17" s="77"/>
      <c r="M17" s="78">
        <f t="shared" si="2"/>
        <v>1300.028999999995</v>
      </c>
      <c r="N17" s="221"/>
      <c r="O17" s="92"/>
      <c r="P17" s="93">
        <f t="shared" si="1"/>
        <v>1300.028999999995</v>
      </c>
    </row>
    <row r="18" spans="1:16" ht="15" thickBot="1">
      <c r="A18" s="100"/>
      <c r="B18" s="46"/>
      <c r="C18" s="46"/>
      <c r="D18" s="7"/>
      <c r="E18" s="7"/>
      <c r="F18" s="10"/>
      <c r="I18" s="59">
        <f>SUM(I7:I17)</f>
        <v>609491.3934</v>
      </c>
      <c r="J18" s="60">
        <f>SUM(J7:J17)</f>
        <v>605870.7840000001</v>
      </c>
      <c r="K18" s="60">
        <f>SUM(K7:K17)</f>
        <v>3620.6094000000076</v>
      </c>
      <c r="L18" s="79"/>
      <c r="M18" s="72">
        <f>SUM(M7:M17)</f>
        <v>6119.79311185607</v>
      </c>
      <c r="N18" s="84"/>
      <c r="O18" s="61">
        <f>O7+O8+O9+O10</f>
        <v>1858.2563096898195</v>
      </c>
      <c r="P18" s="95">
        <f>SUM(P7:P17)</f>
        <v>7978.049421545889</v>
      </c>
    </row>
    <row r="19" spans="1:6" ht="12.75">
      <c r="A19" s="100" t="s">
        <v>12</v>
      </c>
      <c r="B19" s="47">
        <f>B17/B15</f>
        <v>0.3333333333333333</v>
      </c>
      <c r="C19" s="47">
        <f>C17/C15</f>
        <v>0.005940378222246457</v>
      </c>
      <c r="D19" s="7"/>
      <c r="E19" s="7"/>
      <c r="F19" s="10"/>
    </row>
    <row r="20" spans="1:6" ht="12.75">
      <c r="A20" s="100"/>
      <c r="B20" s="46"/>
      <c r="C20" s="46"/>
      <c r="D20" s="7"/>
      <c r="E20" s="7"/>
      <c r="F20" s="10"/>
    </row>
    <row r="21" spans="1:15" ht="12.75">
      <c r="A21" s="102" t="s">
        <v>14</v>
      </c>
      <c r="B21" s="98">
        <f>B19*B8</f>
        <v>2729.1666666666665</v>
      </c>
      <c r="C21" s="80">
        <f>M18</f>
        <v>6119.79311185607</v>
      </c>
      <c r="D21" s="7"/>
      <c r="E21" s="7"/>
      <c r="F21" s="11"/>
      <c r="G21" s="40"/>
      <c r="O21" s="73" t="s">
        <v>19</v>
      </c>
    </row>
    <row r="22" spans="1:16" ht="12.75">
      <c r="A22" s="100" t="s">
        <v>0</v>
      </c>
      <c r="B22" s="46" t="s">
        <v>0</v>
      </c>
      <c r="C22" s="46"/>
      <c r="D22" s="7"/>
      <c r="E22" s="7"/>
      <c r="F22" s="10"/>
      <c r="G22" s="40"/>
      <c r="N22" s="84"/>
      <c r="P22" s="62"/>
    </row>
    <row r="23" spans="1:7" ht="12.75">
      <c r="A23" s="103" t="s">
        <v>15</v>
      </c>
      <c r="B23" s="81">
        <f>3*B8</f>
        <v>24562.5</v>
      </c>
      <c r="C23" s="81">
        <f>3*C8</f>
        <v>24562.5</v>
      </c>
      <c r="D23" s="8"/>
      <c r="E23" s="8"/>
      <c r="F23" s="11"/>
      <c r="G23" s="40"/>
    </row>
    <row r="24" spans="1:7" ht="12.75">
      <c r="A24" s="12"/>
      <c r="B24" s="48"/>
      <c r="C24" s="48"/>
      <c r="D24" s="8"/>
      <c r="E24" s="8"/>
      <c r="F24" s="11"/>
      <c r="G24" s="40"/>
    </row>
    <row r="25" spans="1:7" ht="12.75">
      <c r="A25" s="12" t="s">
        <v>24</v>
      </c>
      <c r="B25" s="99">
        <f>(4.75-3-1)*B21</f>
        <v>2046.875</v>
      </c>
      <c r="C25" s="82">
        <f>O18</f>
        <v>1858.2563096898195</v>
      </c>
      <c r="D25" s="38"/>
      <c r="E25" s="38"/>
      <c r="F25" s="39"/>
      <c r="G25" s="40"/>
    </row>
    <row r="26" spans="1:7" ht="13.5" thickBot="1">
      <c r="A26" s="12"/>
      <c r="B26" s="49"/>
      <c r="C26" s="49"/>
      <c r="D26" s="32"/>
      <c r="E26" s="32"/>
      <c r="F26" s="33"/>
      <c r="G26" s="40"/>
    </row>
    <row r="27" spans="1:7" ht="13.5" thickBot="1">
      <c r="A27" s="104" t="s">
        <v>9</v>
      </c>
      <c r="B27" s="50">
        <f>B21+B23+B25</f>
        <v>29338.541666666668</v>
      </c>
      <c r="C27" s="50">
        <f>C21+C23+C25</f>
        <v>32540.54942154589</v>
      </c>
      <c r="D27" s="36"/>
      <c r="E27" s="36"/>
      <c r="F27" s="37"/>
      <c r="G27" s="40"/>
    </row>
    <row r="28" spans="1:7" ht="12.75">
      <c r="A28" s="105"/>
      <c r="B28" s="51"/>
      <c r="C28" s="51"/>
      <c r="D28" s="34"/>
      <c r="E28" s="34"/>
      <c r="F28" s="35"/>
      <c r="G28" s="40"/>
    </row>
    <row r="29" spans="1:7" ht="12.75">
      <c r="A29" s="105" t="s">
        <v>6</v>
      </c>
      <c r="B29" s="52">
        <v>40</v>
      </c>
      <c r="C29" s="52">
        <v>40</v>
      </c>
      <c r="D29" s="28"/>
      <c r="E29" s="28"/>
      <c r="F29" s="29"/>
      <c r="G29" s="40"/>
    </row>
    <row r="30" spans="1:7" ht="13.5" thickBot="1">
      <c r="A30" s="105"/>
      <c r="B30" s="52"/>
      <c r="C30" s="52"/>
      <c r="D30" s="28"/>
      <c r="E30" s="28"/>
      <c r="F30" s="29"/>
      <c r="G30" s="40"/>
    </row>
    <row r="31" spans="1:6" ht="13.5" thickBot="1">
      <c r="A31" s="106" t="s">
        <v>7</v>
      </c>
      <c r="B31" s="53">
        <f>B27+B29</f>
        <v>29378.541666666668</v>
      </c>
      <c r="C31" s="53">
        <f>C27+C29</f>
        <v>32580.54942154589</v>
      </c>
      <c r="D31" s="30"/>
      <c r="E31" s="30"/>
      <c r="F31" s="31"/>
    </row>
    <row r="32" spans="1:5" ht="12.75">
      <c r="A32" s="3"/>
      <c r="B32" s="4"/>
      <c r="C32" s="4"/>
      <c r="D32" s="3"/>
      <c r="E32" s="3"/>
    </row>
    <row r="33" ht="12.75">
      <c r="A33" s="13" t="s">
        <v>13</v>
      </c>
    </row>
    <row r="35" ht="12.75">
      <c r="A35" s="13" t="s">
        <v>22</v>
      </c>
    </row>
  </sheetData>
  <sheetProtection/>
  <mergeCells count="1">
    <mergeCell ref="N7:N17"/>
  </mergeCells>
  <printOptions/>
  <pageMargins left="0.75" right="0.75" top="1" bottom="1" header="0.5" footer="0.5"/>
  <pageSetup fitToHeight="1" fitToWidth="1" horizontalDpi="600" verticalDpi="600" orientation="landscape" paperSize="9" scale="50" r:id="rId5"/>
  <drawing r:id="rId4"/>
  <legacyDrawing r:id="rId3"/>
  <oleObjects>
    <oleObject progId="Equation.3" shapeId="688547" r:id="rId1"/>
    <oleObject progId="Equation.3" shapeId="146195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1"/>
  <sheetViews>
    <sheetView zoomScalePageLayoutView="0" workbookViewId="0" topLeftCell="A101">
      <selection activeCell="J123" sqref="J123"/>
    </sheetView>
  </sheetViews>
  <sheetFormatPr defaultColWidth="9.140625" defaultRowHeight="12.75"/>
  <cols>
    <col min="1" max="1" width="15.00390625" style="0" customWidth="1"/>
    <col min="2" max="2" width="13.421875" style="0" customWidth="1"/>
    <col min="3" max="3" width="18.57421875" style="0" customWidth="1"/>
    <col min="4" max="4" width="12.421875" style="0" customWidth="1"/>
    <col min="7" max="7" width="9.7109375" style="0" customWidth="1"/>
    <col min="8" max="8" width="13.140625" style="164" customWidth="1"/>
    <col min="9" max="9" width="16.421875" style="164" customWidth="1"/>
    <col min="10" max="10" width="9.8515625" style="0" customWidth="1"/>
    <col min="14" max="14" width="9.140625" style="0" customWidth="1"/>
    <col min="15" max="15" width="8.7109375" style="0" customWidth="1"/>
  </cols>
  <sheetData>
    <row r="2" spans="1:13" ht="20.25">
      <c r="A2" s="222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7" ht="13.5" thickBot="1">
      <c r="A4" s="107"/>
      <c r="D4" s="108"/>
      <c r="G4" s="108"/>
    </row>
    <row r="5" spans="1:18" ht="15.75" customHeight="1" thickBot="1">
      <c r="A5" s="109"/>
      <c r="B5" s="223" t="s">
        <v>31</v>
      </c>
      <c r="C5" s="224"/>
      <c r="D5" s="224"/>
      <c r="E5" s="224"/>
      <c r="F5" s="224"/>
      <c r="G5" s="225"/>
      <c r="H5" s="226" t="s">
        <v>32</v>
      </c>
      <c r="I5" s="227"/>
      <c r="J5" s="227"/>
      <c r="K5" s="227"/>
      <c r="L5" s="228"/>
      <c r="M5" s="110"/>
      <c r="N5" s="144"/>
      <c r="O5" s="144"/>
      <c r="P5" s="144"/>
      <c r="Q5" s="144"/>
      <c r="R5" s="144"/>
    </row>
    <row r="6" spans="1:18" ht="12.75">
      <c r="A6" s="111" t="s">
        <v>33</v>
      </c>
      <c r="B6" s="113"/>
      <c r="C6" s="109" t="s">
        <v>34</v>
      </c>
      <c r="D6" s="155" t="s">
        <v>35</v>
      </c>
      <c r="E6" s="109" t="s">
        <v>36</v>
      </c>
      <c r="F6" s="109" t="s">
        <v>37</v>
      </c>
      <c r="G6" s="155" t="s">
        <v>38</v>
      </c>
      <c r="H6" s="114" t="s">
        <v>39</v>
      </c>
      <c r="I6" s="109" t="s">
        <v>40</v>
      </c>
      <c r="J6" s="109" t="s">
        <v>41</v>
      </c>
      <c r="K6" s="109" t="s">
        <v>42</v>
      </c>
      <c r="L6" s="109" t="s">
        <v>37</v>
      </c>
      <c r="N6" s="115"/>
      <c r="O6" s="116"/>
      <c r="P6" s="115"/>
      <c r="Q6" s="115"/>
      <c r="R6" s="115"/>
    </row>
    <row r="7" spans="1:18" ht="13.5" thickBot="1">
      <c r="A7" s="111" t="s">
        <v>43</v>
      </c>
      <c r="B7" s="112" t="s">
        <v>44</v>
      </c>
      <c r="C7" s="111" t="s">
        <v>45</v>
      </c>
      <c r="D7" s="156" t="s">
        <v>45</v>
      </c>
      <c r="E7" s="111" t="s">
        <v>46</v>
      </c>
      <c r="F7" s="111" t="s">
        <v>45</v>
      </c>
      <c r="G7" s="156" t="s">
        <v>47</v>
      </c>
      <c r="H7" s="117" t="s">
        <v>48</v>
      </c>
      <c r="I7" s="111" t="s">
        <v>48</v>
      </c>
      <c r="J7" s="111" t="s">
        <v>49</v>
      </c>
      <c r="K7" s="111" t="s">
        <v>41</v>
      </c>
      <c r="L7" s="111" t="s">
        <v>41</v>
      </c>
      <c r="N7" s="115"/>
      <c r="O7" s="116"/>
      <c r="P7" s="115"/>
      <c r="Q7" s="115"/>
      <c r="R7" s="115"/>
    </row>
    <row r="8" spans="1:18" ht="12.75">
      <c r="A8" s="118" t="s">
        <v>97</v>
      </c>
      <c r="B8" s="119" t="s">
        <v>36</v>
      </c>
      <c r="C8" s="119"/>
      <c r="D8" s="157"/>
      <c r="E8" s="119"/>
      <c r="F8" s="120"/>
      <c r="G8" s="158"/>
      <c r="H8" s="121">
        <v>641.87</v>
      </c>
      <c r="I8" s="121">
        <v>641.87</v>
      </c>
      <c r="J8" s="121">
        <f>H8-I8</f>
        <v>0</v>
      </c>
      <c r="K8" s="122">
        <f>J8/H8</f>
        <v>0</v>
      </c>
      <c r="L8" s="123">
        <v>0</v>
      </c>
      <c r="N8" s="110"/>
      <c r="O8" s="110"/>
      <c r="P8" s="110"/>
      <c r="Q8" s="110"/>
      <c r="R8" s="124"/>
    </row>
    <row r="9" spans="1:18" ht="15">
      <c r="A9" s="125" t="s">
        <v>98</v>
      </c>
      <c r="B9" s="126" t="s">
        <v>36</v>
      </c>
      <c r="C9" s="126"/>
      <c r="D9" s="159"/>
      <c r="E9" s="126"/>
      <c r="F9" s="160"/>
      <c r="G9" s="161"/>
      <c r="H9" s="165">
        <v>2876</v>
      </c>
      <c r="I9" s="165">
        <v>2876</v>
      </c>
      <c r="J9" s="127">
        <f>H9-I9</f>
        <v>0</v>
      </c>
      <c r="K9" s="128">
        <f>J9/H9</f>
        <v>0</v>
      </c>
      <c r="L9" s="129">
        <v>0</v>
      </c>
      <c r="N9" s="110"/>
      <c r="O9" s="110"/>
      <c r="P9" s="110"/>
      <c r="Q9" s="110"/>
      <c r="R9" s="124"/>
    </row>
    <row r="10" spans="1:18" ht="15">
      <c r="A10" s="125" t="s">
        <v>99</v>
      </c>
      <c r="B10" s="126" t="s">
        <v>36</v>
      </c>
      <c r="C10" s="126"/>
      <c r="D10" s="159"/>
      <c r="E10" s="126"/>
      <c r="F10" s="160"/>
      <c r="G10" s="161"/>
      <c r="H10" s="165">
        <v>4486.56</v>
      </c>
      <c r="I10" s="165">
        <v>4486.56</v>
      </c>
      <c r="J10" s="127">
        <f aca="true" t="shared" si="0" ref="J10:J73">H10-I10</f>
        <v>0</v>
      </c>
      <c r="K10" s="128">
        <f aca="true" t="shared" si="1" ref="K10:K73">J10/H10</f>
        <v>0</v>
      </c>
      <c r="L10" s="129">
        <v>0</v>
      </c>
      <c r="N10" s="110"/>
      <c r="O10" s="110"/>
      <c r="P10" s="110"/>
      <c r="Q10" s="110"/>
      <c r="R10" s="124"/>
    </row>
    <row r="11" spans="1:18" ht="15">
      <c r="A11" s="125" t="s">
        <v>100</v>
      </c>
      <c r="B11" s="126" t="s">
        <v>36</v>
      </c>
      <c r="C11" s="126"/>
      <c r="D11" s="159"/>
      <c r="E11" s="126"/>
      <c r="F11" s="160"/>
      <c r="G11" s="161"/>
      <c r="H11" s="165">
        <v>322.2</v>
      </c>
      <c r="I11" s="165">
        <v>322.2</v>
      </c>
      <c r="J11" s="127">
        <f t="shared" si="0"/>
        <v>0</v>
      </c>
      <c r="K11" s="128">
        <f t="shared" si="1"/>
        <v>0</v>
      </c>
      <c r="L11" s="129">
        <v>0</v>
      </c>
      <c r="N11" s="110"/>
      <c r="O11" s="110"/>
      <c r="P11" s="110"/>
      <c r="Q11" s="110"/>
      <c r="R11" s="124"/>
    </row>
    <row r="12" spans="1:18" ht="15">
      <c r="A12" s="125" t="s">
        <v>101</v>
      </c>
      <c r="B12" s="126" t="s">
        <v>36</v>
      </c>
      <c r="C12" s="126"/>
      <c r="D12" s="159"/>
      <c r="E12" s="126"/>
      <c r="F12" s="160"/>
      <c r="G12" s="161"/>
      <c r="H12" s="165">
        <v>1380.48</v>
      </c>
      <c r="I12" s="165">
        <v>1380.48</v>
      </c>
      <c r="J12" s="127">
        <f t="shared" si="0"/>
        <v>0</v>
      </c>
      <c r="K12" s="128">
        <f t="shared" si="1"/>
        <v>0</v>
      </c>
      <c r="L12" s="129">
        <v>0</v>
      </c>
      <c r="N12" s="110"/>
      <c r="O12" s="110"/>
      <c r="P12" s="110"/>
      <c r="Q12" s="110"/>
      <c r="R12" s="124"/>
    </row>
    <row r="13" spans="1:18" ht="15">
      <c r="A13" s="125" t="s">
        <v>102</v>
      </c>
      <c r="B13" s="126" t="s">
        <v>36</v>
      </c>
      <c r="C13" s="126"/>
      <c r="D13" s="159"/>
      <c r="E13" s="126"/>
      <c r="F13" s="160"/>
      <c r="G13" s="161"/>
      <c r="H13" s="165">
        <v>1380.48</v>
      </c>
      <c r="I13" s="165">
        <v>1380.48</v>
      </c>
      <c r="J13" s="127">
        <f t="shared" si="0"/>
        <v>0</v>
      </c>
      <c r="K13" s="128">
        <f t="shared" si="1"/>
        <v>0</v>
      </c>
      <c r="L13" s="129">
        <v>0</v>
      </c>
      <c r="N13" s="110"/>
      <c r="O13" s="110"/>
      <c r="P13" s="110"/>
      <c r="Q13" s="110"/>
      <c r="R13" s="124"/>
    </row>
    <row r="14" spans="1:18" ht="15">
      <c r="A14" s="125" t="s">
        <v>103</v>
      </c>
      <c r="B14" s="126" t="s">
        <v>36</v>
      </c>
      <c r="C14" s="126"/>
      <c r="D14" s="159"/>
      <c r="E14" s="126"/>
      <c r="F14" s="160"/>
      <c r="G14" s="161"/>
      <c r="H14" s="165">
        <v>4799.02</v>
      </c>
      <c r="I14" s="165">
        <v>4799.02</v>
      </c>
      <c r="J14" s="127">
        <f t="shared" si="0"/>
        <v>0</v>
      </c>
      <c r="K14" s="128">
        <f t="shared" si="1"/>
        <v>0</v>
      </c>
      <c r="L14" s="129">
        <v>0</v>
      </c>
      <c r="N14" s="110"/>
      <c r="O14" s="110"/>
      <c r="P14" s="110"/>
      <c r="Q14" s="110"/>
      <c r="R14" s="124"/>
    </row>
    <row r="15" spans="1:18" ht="15">
      <c r="A15" s="125" t="s">
        <v>104</v>
      </c>
      <c r="B15" s="126" t="s">
        <v>36</v>
      </c>
      <c r="C15" s="126"/>
      <c r="D15" s="159"/>
      <c r="E15" s="126"/>
      <c r="F15" s="160"/>
      <c r="G15" s="161"/>
      <c r="H15" s="165">
        <v>375.9</v>
      </c>
      <c r="I15" s="165">
        <v>375.9</v>
      </c>
      <c r="J15" s="127">
        <f t="shared" si="0"/>
        <v>0</v>
      </c>
      <c r="K15" s="128">
        <f t="shared" si="1"/>
        <v>0</v>
      </c>
      <c r="L15" s="129">
        <v>0</v>
      </c>
      <c r="N15" s="110"/>
      <c r="O15" s="110"/>
      <c r="P15" s="110"/>
      <c r="Q15" s="110"/>
      <c r="R15" s="124"/>
    </row>
    <row r="16" spans="1:18" ht="15">
      <c r="A16" s="125" t="s">
        <v>105</v>
      </c>
      <c r="B16" s="126" t="s">
        <v>36</v>
      </c>
      <c r="C16" s="126"/>
      <c r="D16" s="159"/>
      <c r="E16" s="126"/>
      <c r="F16" s="160"/>
      <c r="G16" s="161"/>
      <c r="H16" s="165">
        <v>1389.19</v>
      </c>
      <c r="I16" s="165">
        <v>1389.19</v>
      </c>
      <c r="J16" s="127">
        <f t="shared" si="0"/>
        <v>0</v>
      </c>
      <c r="K16" s="128">
        <f t="shared" si="1"/>
        <v>0</v>
      </c>
      <c r="L16" s="129">
        <v>0</v>
      </c>
      <c r="N16" s="110"/>
      <c r="O16" s="110"/>
      <c r="P16" s="110"/>
      <c r="Q16" s="110"/>
      <c r="R16" s="124"/>
    </row>
    <row r="17" spans="1:18" ht="15">
      <c r="A17" s="125" t="s">
        <v>106</v>
      </c>
      <c r="B17" s="126" t="s">
        <v>36</v>
      </c>
      <c r="C17" s="126"/>
      <c r="D17" s="159"/>
      <c r="E17" s="126"/>
      <c r="F17" s="160"/>
      <c r="G17" s="161"/>
      <c r="H17" s="165">
        <v>3662.4100000000003</v>
      </c>
      <c r="I17" s="165">
        <v>3662.4100000000003</v>
      </c>
      <c r="J17" s="127">
        <f t="shared" si="0"/>
        <v>0</v>
      </c>
      <c r="K17" s="128">
        <f t="shared" si="1"/>
        <v>0</v>
      </c>
      <c r="L17" s="129">
        <v>0</v>
      </c>
      <c r="N17" s="110"/>
      <c r="O17" s="110"/>
      <c r="P17" s="110"/>
      <c r="Q17" s="110"/>
      <c r="R17" s="124"/>
    </row>
    <row r="18" spans="1:18" ht="15">
      <c r="A18" s="125" t="s">
        <v>107</v>
      </c>
      <c r="B18" s="126" t="s">
        <v>36</v>
      </c>
      <c r="C18" s="126"/>
      <c r="D18" s="159"/>
      <c r="E18" s="126"/>
      <c r="F18" s="160"/>
      <c r="G18" s="161"/>
      <c r="H18" s="165">
        <v>626.5</v>
      </c>
      <c r="I18" s="165">
        <v>626.5</v>
      </c>
      <c r="J18" s="127">
        <f t="shared" si="0"/>
        <v>0</v>
      </c>
      <c r="K18" s="128">
        <f t="shared" si="1"/>
        <v>0</v>
      </c>
      <c r="L18" s="129">
        <v>0</v>
      </c>
      <c r="N18" s="110"/>
      <c r="O18" s="110"/>
      <c r="P18" s="110"/>
      <c r="Q18" s="110"/>
      <c r="R18" s="124"/>
    </row>
    <row r="19" spans="1:18" ht="15">
      <c r="A19" s="125" t="s">
        <v>108</v>
      </c>
      <c r="B19" s="126" t="s">
        <v>36</v>
      </c>
      <c r="C19" s="126"/>
      <c r="D19" s="159"/>
      <c r="E19" s="126"/>
      <c r="F19" s="160"/>
      <c r="G19" s="161"/>
      <c r="H19" s="165">
        <v>11871.26</v>
      </c>
      <c r="I19" s="165">
        <v>11871.26</v>
      </c>
      <c r="J19" s="127">
        <f t="shared" si="0"/>
        <v>0</v>
      </c>
      <c r="K19" s="128">
        <f t="shared" si="1"/>
        <v>0</v>
      </c>
      <c r="L19" s="129">
        <v>0</v>
      </c>
      <c r="N19" s="110"/>
      <c r="O19" s="110"/>
      <c r="P19" s="110"/>
      <c r="Q19" s="110"/>
      <c r="R19" s="124"/>
    </row>
    <row r="20" spans="1:18" ht="15">
      <c r="A20" s="125" t="s">
        <v>109</v>
      </c>
      <c r="B20" s="126" t="s">
        <v>36</v>
      </c>
      <c r="C20" s="126"/>
      <c r="D20" s="159"/>
      <c r="E20" s="126"/>
      <c r="F20" s="160"/>
      <c r="G20" s="161"/>
      <c r="H20" s="165">
        <v>92076.4152</v>
      </c>
      <c r="I20" s="165">
        <v>92076.4152</v>
      </c>
      <c r="J20" s="127">
        <f t="shared" si="0"/>
        <v>0</v>
      </c>
      <c r="K20" s="128">
        <f t="shared" si="1"/>
        <v>0</v>
      </c>
      <c r="L20" s="129">
        <v>0</v>
      </c>
      <c r="N20" s="110"/>
      <c r="O20" s="110"/>
      <c r="P20" s="110"/>
      <c r="Q20" s="110"/>
      <c r="R20" s="124"/>
    </row>
    <row r="21" spans="1:18" ht="15">
      <c r="A21" s="125" t="s">
        <v>110</v>
      </c>
      <c r="B21" s="126" t="s">
        <v>36</v>
      </c>
      <c r="C21" s="126"/>
      <c r="D21" s="159"/>
      <c r="E21" s="126"/>
      <c r="F21" s="160"/>
      <c r="G21" s="161"/>
      <c r="H21" s="165">
        <v>107274.72780000001</v>
      </c>
      <c r="I21" s="165">
        <v>107274.72780000001</v>
      </c>
      <c r="J21" s="127">
        <f t="shared" si="0"/>
        <v>0</v>
      </c>
      <c r="K21" s="128">
        <f t="shared" si="1"/>
        <v>0</v>
      </c>
      <c r="L21" s="129">
        <v>0</v>
      </c>
      <c r="N21" s="110"/>
      <c r="O21" s="110"/>
      <c r="P21" s="110"/>
      <c r="Q21" s="110"/>
      <c r="R21" s="124"/>
    </row>
    <row r="22" spans="1:18" ht="15">
      <c r="A22" s="125" t="s">
        <v>111</v>
      </c>
      <c r="B22" s="126" t="s">
        <v>36</v>
      </c>
      <c r="C22" s="126"/>
      <c r="D22" s="159"/>
      <c r="E22" s="126"/>
      <c r="F22" s="160"/>
      <c r="G22" s="161"/>
      <c r="H22" s="165">
        <v>110261.931</v>
      </c>
      <c r="I22" s="165">
        <v>110261.931</v>
      </c>
      <c r="J22" s="127">
        <f t="shared" si="0"/>
        <v>0</v>
      </c>
      <c r="K22" s="128">
        <f t="shared" si="1"/>
        <v>0</v>
      </c>
      <c r="L22" s="129">
        <v>0</v>
      </c>
      <c r="N22" s="110"/>
      <c r="O22" s="110"/>
      <c r="P22" s="110"/>
      <c r="Q22" s="110"/>
      <c r="R22" s="124"/>
    </row>
    <row r="23" spans="1:18" ht="15">
      <c r="A23" s="125" t="s">
        <v>112</v>
      </c>
      <c r="B23" s="126" t="s">
        <v>36</v>
      </c>
      <c r="C23" s="126"/>
      <c r="D23" s="159"/>
      <c r="E23" s="126"/>
      <c r="F23" s="160"/>
      <c r="G23" s="161"/>
      <c r="H23" s="165">
        <v>114410.56980000001</v>
      </c>
      <c r="I23" s="165">
        <v>114410.56980000001</v>
      </c>
      <c r="J23" s="127">
        <f t="shared" si="0"/>
        <v>0</v>
      </c>
      <c r="K23" s="128">
        <f t="shared" si="1"/>
        <v>0</v>
      </c>
      <c r="L23" s="129">
        <v>0</v>
      </c>
      <c r="N23" s="110"/>
      <c r="O23" s="110"/>
      <c r="P23" s="110"/>
      <c r="Q23" s="110"/>
      <c r="R23" s="124"/>
    </row>
    <row r="24" spans="1:18" ht="15">
      <c r="A24" s="125" t="s">
        <v>113</v>
      </c>
      <c r="B24" s="126" t="s">
        <v>36</v>
      </c>
      <c r="C24" s="126"/>
      <c r="D24" s="159"/>
      <c r="E24" s="126"/>
      <c r="F24" s="160"/>
      <c r="G24" s="161"/>
      <c r="H24" s="165">
        <v>117909.76680000001</v>
      </c>
      <c r="I24" s="165">
        <v>117909.76680000001</v>
      </c>
      <c r="J24" s="127">
        <f t="shared" si="0"/>
        <v>0</v>
      </c>
      <c r="K24" s="128">
        <f t="shared" si="1"/>
        <v>0</v>
      </c>
      <c r="L24" s="129">
        <v>0</v>
      </c>
      <c r="N24" s="110"/>
      <c r="O24" s="110"/>
      <c r="P24" s="110"/>
      <c r="Q24" s="110"/>
      <c r="R24" s="124"/>
    </row>
    <row r="25" spans="1:18" ht="15">
      <c r="A25" s="125" t="s">
        <v>114</v>
      </c>
      <c r="B25" s="126" t="s">
        <v>36</v>
      </c>
      <c r="C25" s="126"/>
      <c r="D25" s="159"/>
      <c r="E25" s="126"/>
      <c r="F25" s="126"/>
      <c r="G25" s="159"/>
      <c r="H25" s="165">
        <v>532.33</v>
      </c>
      <c r="I25" s="165">
        <v>560</v>
      </c>
      <c r="J25" s="127">
        <f t="shared" si="0"/>
        <v>-27.66999999999996</v>
      </c>
      <c r="K25" s="128">
        <f t="shared" si="1"/>
        <v>-0.05197903556064839</v>
      </c>
      <c r="L25" s="129">
        <v>0</v>
      </c>
      <c r="N25" s="110"/>
      <c r="O25" s="110"/>
      <c r="P25" s="110"/>
      <c r="Q25" s="110"/>
      <c r="R25" s="124"/>
    </row>
    <row r="26" spans="1:18" ht="15">
      <c r="A26" s="125" t="s">
        <v>115</v>
      </c>
      <c r="B26" s="126" t="s">
        <v>36</v>
      </c>
      <c r="C26" s="126"/>
      <c r="D26" s="159"/>
      <c r="E26" s="126"/>
      <c r="F26" s="126"/>
      <c r="G26" s="159"/>
      <c r="H26" s="165">
        <v>4411.92</v>
      </c>
      <c r="I26" s="165">
        <v>4411.92</v>
      </c>
      <c r="J26" s="127">
        <f t="shared" si="0"/>
        <v>0</v>
      </c>
      <c r="K26" s="128">
        <f t="shared" si="1"/>
        <v>0</v>
      </c>
      <c r="L26" s="129">
        <v>0</v>
      </c>
      <c r="N26" s="110"/>
      <c r="O26" s="110"/>
      <c r="P26" s="110"/>
      <c r="Q26" s="110"/>
      <c r="R26" s="124"/>
    </row>
    <row r="27" spans="1:18" ht="15">
      <c r="A27" s="125" t="s">
        <v>116</v>
      </c>
      <c r="B27" s="126" t="s">
        <v>36</v>
      </c>
      <c r="C27" s="126"/>
      <c r="D27" s="159"/>
      <c r="E27" s="126"/>
      <c r="F27" s="126"/>
      <c r="G27" s="159"/>
      <c r="H27" s="165">
        <v>7641.48</v>
      </c>
      <c r="I27" s="165">
        <v>7641.48</v>
      </c>
      <c r="J27" s="127">
        <f t="shared" si="0"/>
        <v>0</v>
      </c>
      <c r="K27" s="128">
        <f t="shared" si="1"/>
        <v>0</v>
      </c>
      <c r="L27" s="129">
        <v>0</v>
      </c>
      <c r="N27" s="110"/>
      <c r="O27" s="110"/>
      <c r="P27" s="110"/>
      <c r="Q27" s="110"/>
      <c r="R27" s="124"/>
    </row>
    <row r="28" spans="1:18" ht="15">
      <c r="A28" s="125" t="s">
        <v>117</v>
      </c>
      <c r="B28" s="126" t="s">
        <v>36</v>
      </c>
      <c r="C28" s="126"/>
      <c r="D28" s="159"/>
      <c r="E28" s="126"/>
      <c r="F28" s="126"/>
      <c r="G28" s="159"/>
      <c r="H28" s="165">
        <v>4130.29</v>
      </c>
      <c r="I28" s="165">
        <v>4130.29</v>
      </c>
      <c r="J28" s="127">
        <f t="shared" si="0"/>
        <v>0</v>
      </c>
      <c r="K28" s="128">
        <f t="shared" si="1"/>
        <v>0</v>
      </c>
      <c r="L28" s="129">
        <v>0</v>
      </c>
      <c r="N28" s="110"/>
      <c r="O28" s="110"/>
      <c r="P28" s="110"/>
      <c r="Q28" s="110"/>
      <c r="R28" s="124"/>
    </row>
    <row r="29" spans="1:18" ht="12.75">
      <c r="A29" s="125" t="s">
        <v>118</v>
      </c>
      <c r="B29" s="126" t="s">
        <v>36</v>
      </c>
      <c r="C29" s="126"/>
      <c r="D29" s="159"/>
      <c r="E29" s="126"/>
      <c r="F29" s="126"/>
      <c r="G29" s="159"/>
      <c r="H29" s="127">
        <v>1562.44</v>
      </c>
      <c r="I29" s="127">
        <v>1562.44</v>
      </c>
      <c r="J29" s="127">
        <f t="shared" si="0"/>
        <v>0</v>
      </c>
      <c r="K29" s="128">
        <f t="shared" si="1"/>
        <v>0</v>
      </c>
      <c r="L29" s="129">
        <v>0</v>
      </c>
      <c r="N29" s="110"/>
      <c r="O29" s="110"/>
      <c r="P29" s="110"/>
      <c r="Q29" s="110"/>
      <c r="R29" s="124"/>
    </row>
    <row r="30" spans="1:18" ht="12.75">
      <c r="A30" s="125" t="s">
        <v>119</v>
      </c>
      <c r="B30" s="126" t="s">
        <v>36</v>
      </c>
      <c r="C30" s="126"/>
      <c r="D30" s="159"/>
      <c r="E30" s="126"/>
      <c r="F30" s="126"/>
      <c r="G30" s="159"/>
      <c r="H30" s="127">
        <v>978.32</v>
      </c>
      <c r="I30" s="127">
        <v>978.32</v>
      </c>
      <c r="J30" s="127">
        <f t="shared" si="0"/>
        <v>0</v>
      </c>
      <c r="K30" s="128">
        <f t="shared" si="1"/>
        <v>0</v>
      </c>
      <c r="L30" s="129">
        <v>0</v>
      </c>
      <c r="N30" s="110"/>
      <c r="O30" s="110"/>
      <c r="P30" s="110"/>
      <c r="Q30" s="110"/>
      <c r="R30" s="124"/>
    </row>
    <row r="31" spans="1:18" ht="12.75">
      <c r="A31" s="125" t="s">
        <v>120</v>
      </c>
      <c r="B31" s="126" t="s">
        <v>36</v>
      </c>
      <c r="C31" s="126"/>
      <c r="D31" s="159"/>
      <c r="E31" s="126"/>
      <c r="F31" s="126"/>
      <c r="G31" s="159"/>
      <c r="H31" s="127">
        <v>851.49</v>
      </c>
      <c r="I31" s="127">
        <v>851.49</v>
      </c>
      <c r="J31" s="127">
        <f t="shared" si="0"/>
        <v>0</v>
      </c>
      <c r="K31" s="128">
        <f t="shared" si="1"/>
        <v>0</v>
      </c>
      <c r="L31" s="129">
        <v>0</v>
      </c>
      <c r="N31" s="110"/>
      <c r="O31" s="110"/>
      <c r="P31" s="110"/>
      <c r="Q31" s="110"/>
      <c r="R31" s="124"/>
    </row>
    <row r="32" spans="1:18" ht="12.75">
      <c r="A32" s="125" t="s">
        <v>121</v>
      </c>
      <c r="B32" s="126" t="s">
        <v>36</v>
      </c>
      <c r="C32" s="126"/>
      <c r="D32" s="159"/>
      <c r="E32" s="126"/>
      <c r="F32" s="126"/>
      <c r="G32" s="159"/>
      <c r="H32" s="127">
        <v>1973.44</v>
      </c>
      <c r="I32" s="127">
        <v>1973.44</v>
      </c>
      <c r="J32" s="127">
        <f t="shared" si="0"/>
        <v>0</v>
      </c>
      <c r="K32" s="128">
        <f t="shared" si="1"/>
        <v>0</v>
      </c>
      <c r="L32" s="129">
        <v>0</v>
      </c>
      <c r="N32" s="110"/>
      <c r="O32" s="110"/>
      <c r="P32" s="110"/>
      <c r="Q32" s="110"/>
      <c r="R32" s="124"/>
    </row>
    <row r="33" spans="1:18" ht="12.75">
      <c r="A33" s="125" t="s">
        <v>122</v>
      </c>
      <c r="B33" s="126" t="s">
        <v>36</v>
      </c>
      <c r="C33" s="126"/>
      <c r="D33" s="159"/>
      <c r="E33" s="126"/>
      <c r="F33" s="126"/>
      <c r="G33" s="159"/>
      <c r="H33" s="127">
        <v>1717.34</v>
      </c>
      <c r="I33" s="127">
        <v>1717.34</v>
      </c>
      <c r="J33" s="127">
        <f t="shared" si="0"/>
        <v>0</v>
      </c>
      <c r="K33" s="128">
        <f t="shared" si="1"/>
        <v>0</v>
      </c>
      <c r="L33" s="129">
        <v>0</v>
      </c>
      <c r="N33" s="110"/>
      <c r="O33" s="110"/>
      <c r="P33" s="110"/>
      <c r="Q33" s="110"/>
      <c r="R33" s="124"/>
    </row>
    <row r="34" spans="1:18" ht="12.75">
      <c r="A34" s="125" t="s">
        <v>123</v>
      </c>
      <c r="B34" s="126" t="s">
        <v>36</v>
      </c>
      <c r="C34" s="126"/>
      <c r="D34" s="159"/>
      <c r="E34" s="126"/>
      <c r="F34" s="126"/>
      <c r="G34" s="159"/>
      <c r="H34" s="127">
        <v>459.55</v>
      </c>
      <c r="I34" s="127">
        <v>459.55</v>
      </c>
      <c r="J34" s="127">
        <f t="shared" si="0"/>
        <v>0</v>
      </c>
      <c r="K34" s="128">
        <f t="shared" si="1"/>
        <v>0</v>
      </c>
      <c r="L34" s="129">
        <v>0</v>
      </c>
      <c r="N34" s="110"/>
      <c r="O34" s="110"/>
      <c r="P34" s="110"/>
      <c r="Q34" s="110"/>
      <c r="R34" s="124"/>
    </row>
    <row r="35" spans="1:18" ht="12.75">
      <c r="A35" s="125" t="s">
        <v>124</v>
      </c>
      <c r="B35" s="126" t="s">
        <v>36</v>
      </c>
      <c r="C35" s="126"/>
      <c r="D35" s="159"/>
      <c r="E35" s="126"/>
      <c r="F35" s="126"/>
      <c r="G35" s="159"/>
      <c r="H35" s="127">
        <v>2372.06</v>
      </c>
      <c r="I35" s="127">
        <v>2372.06</v>
      </c>
      <c r="J35" s="127">
        <f t="shared" si="0"/>
        <v>0</v>
      </c>
      <c r="K35" s="128">
        <f t="shared" si="1"/>
        <v>0</v>
      </c>
      <c r="L35" s="129">
        <v>0</v>
      </c>
      <c r="N35" s="110"/>
      <c r="O35" s="110"/>
      <c r="P35" s="110"/>
      <c r="Q35" s="110"/>
      <c r="R35" s="124"/>
    </row>
    <row r="36" spans="1:18" ht="12.75">
      <c r="A36" s="125" t="s">
        <v>125</v>
      </c>
      <c r="B36" s="126" t="s">
        <v>36</v>
      </c>
      <c r="C36" s="126"/>
      <c r="D36" s="159"/>
      <c r="E36" s="126"/>
      <c r="F36" s="126"/>
      <c r="G36" s="159"/>
      <c r="H36" s="127">
        <v>1728.11</v>
      </c>
      <c r="I36" s="127">
        <v>1728.11</v>
      </c>
      <c r="J36" s="127">
        <f t="shared" si="0"/>
        <v>0</v>
      </c>
      <c r="K36" s="128">
        <f t="shared" si="1"/>
        <v>0</v>
      </c>
      <c r="L36" s="129">
        <v>0</v>
      </c>
      <c r="N36" s="110"/>
      <c r="O36" s="110"/>
      <c r="P36" s="110"/>
      <c r="Q36" s="110"/>
      <c r="R36" s="124"/>
    </row>
    <row r="37" spans="1:18" ht="12.75">
      <c r="A37" s="125" t="s">
        <v>126</v>
      </c>
      <c r="B37" s="126" t="s">
        <v>36</v>
      </c>
      <c r="C37" s="126"/>
      <c r="D37" s="159"/>
      <c r="E37" s="126"/>
      <c r="F37" s="126"/>
      <c r="G37" s="159"/>
      <c r="H37" s="127">
        <v>3055.98</v>
      </c>
      <c r="I37" s="127">
        <v>3055.98</v>
      </c>
      <c r="J37" s="127">
        <f t="shared" si="0"/>
        <v>0</v>
      </c>
      <c r="K37" s="128">
        <f t="shared" si="1"/>
        <v>0</v>
      </c>
      <c r="L37" s="129">
        <v>0</v>
      </c>
      <c r="N37" s="110"/>
      <c r="O37" s="110"/>
      <c r="P37" s="110"/>
      <c r="Q37" s="110"/>
      <c r="R37" s="124"/>
    </row>
    <row r="38" spans="1:18" ht="12.75">
      <c r="A38" s="125" t="s">
        <v>127</v>
      </c>
      <c r="B38" s="126" t="s">
        <v>36</v>
      </c>
      <c r="C38" s="126"/>
      <c r="D38" s="159"/>
      <c r="E38" s="126"/>
      <c r="F38" s="126"/>
      <c r="G38" s="159"/>
      <c r="H38" s="127">
        <v>2460.64</v>
      </c>
      <c r="I38" s="127">
        <v>2460.64</v>
      </c>
      <c r="J38" s="127">
        <f t="shared" si="0"/>
        <v>0</v>
      </c>
      <c r="K38" s="128">
        <f t="shared" si="1"/>
        <v>0</v>
      </c>
      <c r="L38" s="129">
        <v>0</v>
      </c>
      <c r="N38" s="110"/>
      <c r="O38" s="110"/>
      <c r="P38" s="110"/>
      <c r="Q38" s="110"/>
      <c r="R38" s="124"/>
    </row>
    <row r="39" spans="1:18" ht="12.75">
      <c r="A39" s="125" t="s">
        <v>128</v>
      </c>
      <c r="B39" s="126" t="s">
        <v>36</v>
      </c>
      <c r="C39" s="126"/>
      <c r="D39" s="159"/>
      <c r="E39" s="126"/>
      <c r="F39" s="126"/>
      <c r="G39" s="159"/>
      <c r="H39" s="127">
        <v>6612.59</v>
      </c>
      <c r="I39" s="127">
        <v>6612.59</v>
      </c>
      <c r="J39" s="127">
        <f t="shared" si="0"/>
        <v>0</v>
      </c>
      <c r="K39" s="128">
        <f t="shared" si="1"/>
        <v>0</v>
      </c>
      <c r="L39" s="129">
        <v>0</v>
      </c>
      <c r="N39" s="110"/>
      <c r="O39" s="110"/>
      <c r="P39" s="110"/>
      <c r="Q39" s="110"/>
      <c r="R39" s="124"/>
    </row>
    <row r="40" spans="1:18" ht="12.75">
      <c r="A40" s="125" t="s">
        <v>129</v>
      </c>
      <c r="B40" s="126" t="s">
        <v>36</v>
      </c>
      <c r="C40" s="126"/>
      <c r="D40" s="159"/>
      <c r="E40" s="126"/>
      <c r="F40" s="126"/>
      <c r="G40" s="159"/>
      <c r="H40" s="127">
        <v>1527.82</v>
      </c>
      <c r="I40" s="127">
        <v>1527.82</v>
      </c>
      <c r="J40" s="127">
        <f t="shared" si="0"/>
        <v>0</v>
      </c>
      <c r="K40" s="128">
        <f t="shared" si="1"/>
        <v>0</v>
      </c>
      <c r="L40" s="129">
        <v>0</v>
      </c>
      <c r="N40" s="110"/>
      <c r="O40" s="110"/>
      <c r="P40" s="110"/>
      <c r="Q40" s="110"/>
      <c r="R40" s="124"/>
    </row>
    <row r="41" spans="1:18" ht="12.75">
      <c r="A41" s="125" t="s">
        <v>130</v>
      </c>
      <c r="B41" s="126" t="s">
        <v>36</v>
      </c>
      <c r="C41" s="126"/>
      <c r="D41" s="159"/>
      <c r="E41" s="126"/>
      <c r="F41" s="126"/>
      <c r="G41" s="159"/>
      <c r="H41" s="127">
        <v>7944.09</v>
      </c>
      <c r="I41" s="127">
        <v>7944.09</v>
      </c>
      <c r="J41" s="127">
        <f t="shared" si="0"/>
        <v>0</v>
      </c>
      <c r="K41" s="128">
        <f t="shared" si="1"/>
        <v>0</v>
      </c>
      <c r="L41" s="129">
        <v>0</v>
      </c>
      <c r="N41" s="110"/>
      <c r="O41" s="110"/>
      <c r="P41" s="110"/>
      <c r="Q41" s="110"/>
      <c r="R41" s="124"/>
    </row>
    <row r="42" spans="1:18" ht="12.75">
      <c r="A42" s="125" t="s">
        <v>131</v>
      </c>
      <c r="B42" s="126" t="s">
        <v>36</v>
      </c>
      <c r="C42" s="126"/>
      <c r="D42" s="159"/>
      <c r="E42" s="126"/>
      <c r="F42" s="126"/>
      <c r="G42" s="159"/>
      <c r="H42" s="127">
        <v>1372.22</v>
      </c>
      <c r="I42" s="127">
        <v>1372.22</v>
      </c>
      <c r="J42" s="127">
        <f t="shared" si="0"/>
        <v>0</v>
      </c>
      <c r="K42" s="128">
        <f t="shared" si="1"/>
        <v>0</v>
      </c>
      <c r="L42" s="129">
        <v>0</v>
      </c>
      <c r="N42" s="110"/>
      <c r="O42" s="110"/>
      <c r="P42" s="110"/>
      <c r="Q42" s="110"/>
      <c r="R42" s="124"/>
    </row>
    <row r="43" spans="1:18" ht="12.75">
      <c r="A43" s="125" t="s">
        <v>132</v>
      </c>
      <c r="B43" s="126" t="s">
        <v>36</v>
      </c>
      <c r="C43" s="126"/>
      <c r="D43" s="159"/>
      <c r="E43" s="126"/>
      <c r="F43" s="126"/>
      <c r="G43" s="159"/>
      <c r="H43" s="127">
        <v>2445.08</v>
      </c>
      <c r="I43" s="127">
        <v>2445.08</v>
      </c>
      <c r="J43" s="127">
        <f t="shared" si="0"/>
        <v>0</v>
      </c>
      <c r="K43" s="128">
        <f t="shared" si="1"/>
        <v>0</v>
      </c>
      <c r="L43" s="129">
        <v>0</v>
      </c>
      <c r="N43" s="110"/>
      <c r="O43" s="110"/>
      <c r="P43" s="110"/>
      <c r="Q43" s="110"/>
      <c r="R43" s="124"/>
    </row>
    <row r="44" spans="1:18" ht="12.75">
      <c r="A44" s="125" t="s">
        <v>133</v>
      </c>
      <c r="B44" s="126" t="s">
        <v>36</v>
      </c>
      <c r="C44" s="126"/>
      <c r="D44" s="159"/>
      <c r="E44" s="126"/>
      <c r="F44" s="126"/>
      <c r="G44" s="159"/>
      <c r="H44" s="127">
        <v>4133.45</v>
      </c>
      <c r="I44" s="127">
        <v>4133.45</v>
      </c>
      <c r="J44" s="127">
        <f t="shared" si="0"/>
        <v>0</v>
      </c>
      <c r="K44" s="128">
        <f t="shared" si="1"/>
        <v>0</v>
      </c>
      <c r="L44" s="129">
        <v>0</v>
      </c>
      <c r="N44" s="110"/>
      <c r="O44" s="110"/>
      <c r="P44" s="110"/>
      <c r="Q44" s="110"/>
      <c r="R44" s="124"/>
    </row>
    <row r="45" spans="1:18" ht="12.75">
      <c r="A45" s="125" t="s">
        <v>134</v>
      </c>
      <c r="B45" s="126" t="s">
        <v>36</v>
      </c>
      <c r="C45" s="126"/>
      <c r="D45" s="159"/>
      <c r="E45" s="126"/>
      <c r="F45" s="126"/>
      <c r="G45" s="159"/>
      <c r="H45" s="127">
        <v>1939.72</v>
      </c>
      <c r="I45" s="127">
        <v>1939.72</v>
      </c>
      <c r="J45" s="127">
        <f t="shared" si="0"/>
        <v>0</v>
      </c>
      <c r="K45" s="128">
        <f t="shared" si="1"/>
        <v>0</v>
      </c>
      <c r="L45" s="129">
        <v>0</v>
      </c>
      <c r="N45" s="110"/>
      <c r="O45" s="110"/>
      <c r="P45" s="110"/>
      <c r="Q45" s="110"/>
      <c r="R45" s="124"/>
    </row>
    <row r="46" spans="1:18" ht="12.75">
      <c r="A46" s="125" t="s">
        <v>135</v>
      </c>
      <c r="B46" s="126" t="s">
        <v>36</v>
      </c>
      <c r="C46" s="126"/>
      <c r="D46" s="159"/>
      <c r="E46" s="126"/>
      <c r="F46" s="126"/>
      <c r="G46" s="159"/>
      <c r="H46" s="127">
        <v>1261.18</v>
      </c>
      <c r="I46" s="127">
        <v>1261.18</v>
      </c>
      <c r="J46" s="127">
        <f t="shared" si="0"/>
        <v>0</v>
      </c>
      <c r="K46" s="128">
        <f t="shared" si="1"/>
        <v>0</v>
      </c>
      <c r="L46" s="129">
        <v>0</v>
      </c>
      <c r="N46" s="110"/>
      <c r="O46" s="110"/>
      <c r="P46" s="110"/>
      <c r="Q46" s="110"/>
      <c r="R46" s="124"/>
    </row>
    <row r="47" spans="1:18" ht="12.75">
      <c r="A47" s="125" t="s">
        <v>136</v>
      </c>
      <c r="B47" s="126" t="s">
        <v>36</v>
      </c>
      <c r="C47" s="126"/>
      <c r="D47" s="159"/>
      <c r="E47" s="126"/>
      <c r="F47" s="126"/>
      <c r="G47" s="159"/>
      <c r="H47" s="127">
        <v>712.02</v>
      </c>
      <c r="I47" s="127">
        <v>712.02</v>
      </c>
      <c r="J47" s="127">
        <f t="shared" si="0"/>
        <v>0</v>
      </c>
      <c r="K47" s="128">
        <f t="shared" si="1"/>
        <v>0</v>
      </c>
      <c r="L47" s="129">
        <v>0</v>
      </c>
      <c r="N47" s="110"/>
      <c r="O47" s="110"/>
      <c r="P47" s="110"/>
      <c r="Q47" s="110"/>
      <c r="R47" s="124"/>
    </row>
    <row r="48" spans="1:18" ht="12.75">
      <c r="A48" s="125" t="s">
        <v>137</v>
      </c>
      <c r="B48" s="126" t="s">
        <v>36</v>
      </c>
      <c r="C48" s="126"/>
      <c r="D48" s="159"/>
      <c r="E48" s="126"/>
      <c r="F48" s="126"/>
      <c r="G48" s="159"/>
      <c r="H48" s="127">
        <v>3417.95</v>
      </c>
      <c r="I48" s="127">
        <v>3417.95</v>
      </c>
      <c r="J48" s="127">
        <f t="shared" si="0"/>
        <v>0</v>
      </c>
      <c r="K48" s="128">
        <f t="shared" si="1"/>
        <v>0</v>
      </c>
      <c r="L48" s="129">
        <v>0</v>
      </c>
      <c r="N48" s="110"/>
      <c r="O48" s="110"/>
      <c r="P48" s="110"/>
      <c r="Q48" s="110"/>
      <c r="R48" s="124"/>
    </row>
    <row r="49" spans="1:18" ht="12.75">
      <c r="A49" s="125" t="s">
        <v>138</v>
      </c>
      <c r="B49" s="126" t="s">
        <v>36</v>
      </c>
      <c r="C49" s="126"/>
      <c r="D49" s="159"/>
      <c r="E49" s="126"/>
      <c r="F49" s="126"/>
      <c r="G49" s="159"/>
      <c r="H49" s="127">
        <v>934.85</v>
      </c>
      <c r="I49" s="127">
        <v>934.85</v>
      </c>
      <c r="J49" s="127">
        <f t="shared" si="0"/>
        <v>0</v>
      </c>
      <c r="K49" s="128">
        <f t="shared" si="1"/>
        <v>0</v>
      </c>
      <c r="L49" s="129">
        <v>0</v>
      </c>
      <c r="N49" s="110"/>
      <c r="O49" s="110"/>
      <c r="P49" s="110"/>
      <c r="Q49" s="110"/>
      <c r="R49" s="124"/>
    </row>
    <row r="50" spans="1:18" ht="12.75">
      <c r="A50" s="125" t="s">
        <v>139</v>
      </c>
      <c r="B50" s="126" t="s">
        <v>36</v>
      </c>
      <c r="C50" s="126"/>
      <c r="D50" s="159"/>
      <c r="E50" s="126"/>
      <c r="F50" s="126"/>
      <c r="G50" s="159"/>
      <c r="H50" s="127">
        <v>453.16</v>
      </c>
      <c r="I50" s="127">
        <v>453.16</v>
      </c>
      <c r="J50" s="127">
        <f t="shared" si="0"/>
        <v>0</v>
      </c>
      <c r="K50" s="128">
        <f t="shared" si="1"/>
        <v>0</v>
      </c>
      <c r="L50" s="129">
        <v>0</v>
      </c>
      <c r="N50" s="110"/>
      <c r="O50" s="110"/>
      <c r="P50" s="110"/>
      <c r="Q50" s="110"/>
      <c r="R50" s="124"/>
    </row>
    <row r="51" spans="1:18" ht="12.75">
      <c r="A51" s="125" t="s">
        <v>140</v>
      </c>
      <c r="B51" s="126" t="s">
        <v>36</v>
      </c>
      <c r="C51" s="126"/>
      <c r="D51" s="159"/>
      <c r="E51" s="126"/>
      <c r="F51" s="126"/>
      <c r="G51" s="159"/>
      <c r="H51" s="127">
        <v>3040.53</v>
      </c>
      <c r="I51" s="127">
        <v>3040.53</v>
      </c>
      <c r="J51" s="127">
        <f t="shared" si="0"/>
        <v>0</v>
      </c>
      <c r="K51" s="128">
        <f t="shared" si="1"/>
        <v>0</v>
      </c>
      <c r="L51" s="129">
        <v>0</v>
      </c>
      <c r="N51" s="110"/>
      <c r="O51" s="110"/>
      <c r="P51" s="110"/>
      <c r="Q51" s="110"/>
      <c r="R51" s="124"/>
    </row>
    <row r="52" spans="1:18" ht="12.75">
      <c r="A52" s="125" t="s">
        <v>141</v>
      </c>
      <c r="B52" s="126" t="s">
        <v>36</v>
      </c>
      <c r="C52" s="126"/>
      <c r="D52" s="159"/>
      <c r="E52" s="126"/>
      <c r="F52" s="126"/>
      <c r="G52" s="159"/>
      <c r="H52" s="127">
        <v>18862.11</v>
      </c>
      <c r="I52" s="127">
        <v>18900</v>
      </c>
      <c r="J52" s="127">
        <f t="shared" si="0"/>
        <v>-37.88999999999942</v>
      </c>
      <c r="K52" s="128">
        <f t="shared" si="1"/>
        <v>-0.0020087890485210517</v>
      </c>
      <c r="L52" s="129">
        <v>0</v>
      </c>
      <c r="N52" s="110"/>
      <c r="O52" s="110"/>
      <c r="P52" s="110"/>
      <c r="Q52" s="110"/>
      <c r="R52" s="124"/>
    </row>
    <row r="53" spans="1:18" ht="12.75">
      <c r="A53" s="125" t="s">
        <v>142</v>
      </c>
      <c r="B53" s="126" t="s">
        <v>36</v>
      </c>
      <c r="C53" s="126"/>
      <c r="D53" s="159"/>
      <c r="E53" s="126"/>
      <c r="F53" s="126"/>
      <c r="G53" s="159"/>
      <c r="H53" s="127">
        <v>19218.07</v>
      </c>
      <c r="I53" s="127">
        <v>19218.07</v>
      </c>
      <c r="J53" s="127">
        <f t="shared" si="0"/>
        <v>0</v>
      </c>
      <c r="K53" s="128">
        <f t="shared" si="1"/>
        <v>0</v>
      </c>
      <c r="L53" s="129">
        <v>0</v>
      </c>
      <c r="N53" s="110"/>
      <c r="O53" s="110"/>
      <c r="P53" s="110"/>
      <c r="Q53" s="110"/>
      <c r="R53" s="124"/>
    </row>
    <row r="54" spans="1:18" ht="12.75">
      <c r="A54" s="125" t="s">
        <v>143</v>
      </c>
      <c r="B54" s="126" t="s">
        <v>36</v>
      </c>
      <c r="C54" s="126"/>
      <c r="D54" s="159"/>
      <c r="E54" s="126"/>
      <c r="F54" s="126"/>
      <c r="G54" s="159"/>
      <c r="H54" s="127">
        <v>1104.75</v>
      </c>
      <c r="I54" s="127">
        <v>1104.75</v>
      </c>
      <c r="J54" s="127">
        <f t="shared" si="0"/>
        <v>0</v>
      </c>
      <c r="K54" s="128">
        <f t="shared" si="1"/>
        <v>0</v>
      </c>
      <c r="L54" s="129">
        <v>0</v>
      </c>
      <c r="N54" s="110"/>
      <c r="O54" s="110"/>
      <c r="P54" s="110"/>
      <c r="Q54" s="110"/>
      <c r="R54" s="124"/>
    </row>
    <row r="55" spans="1:18" ht="12.75">
      <c r="A55" s="125" t="s">
        <v>144</v>
      </c>
      <c r="B55" s="126" t="s">
        <v>36</v>
      </c>
      <c r="C55" s="126"/>
      <c r="D55" s="159"/>
      <c r="E55" s="126"/>
      <c r="F55" s="126"/>
      <c r="G55" s="159"/>
      <c r="H55" s="127">
        <v>1476.02</v>
      </c>
      <c r="I55" s="127">
        <v>1476.02</v>
      </c>
      <c r="J55" s="127">
        <f t="shared" si="0"/>
        <v>0</v>
      </c>
      <c r="K55" s="128">
        <f t="shared" si="1"/>
        <v>0</v>
      </c>
      <c r="L55" s="129">
        <v>0</v>
      </c>
      <c r="N55" s="110"/>
      <c r="O55" s="110"/>
      <c r="P55" s="110"/>
      <c r="Q55" s="110"/>
      <c r="R55" s="124"/>
    </row>
    <row r="56" spans="1:18" ht="12.75">
      <c r="A56" s="125" t="s">
        <v>145</v>
      </c>
      <c r="B56" s="126" t="s">
        <v>51</v>
      </c>
      <c r="C56" s="126"/>
      <c r="D56" s="159">
        <v>1</v>
      </c>
      <c r="E56" s="126"/>
      <c r="F56" s="126"/>
      <c r="G56" s="159">
        <v>1</v>
      </c>
      <c r="H56" s="127">
        <v>32346.29</v>
      </c>
      <c r="I56" s="127">
        <v>32008.13</v>
      </c>
      <c r="J56" s="127">
        <f t="shared" si="0"/>
        <v>338.15999999999985</v>
      </c>
      <c r="K56" s="128">
        <f t="shared" si="1"/>
        <v>0.0104543674096782</v>
      </c>
      <c r="L56" s="129">
        <v>0</v>
      </c>
      <c r="N56" s="110"/>
      <c r="O56" s="110"/>
      <c r="P56" s="110"/>
      <c r="Q56" s="110"/>
      <c r="R56" s="124"/>
    </row>
    <row r="57" spans="1:18" ht="12.75">
      <c r="A57" s="125" t="s">
        <v>146</v>
      </c>
      <c r="B57" s="126" t="s">
        <v>36</v>
      </c>
      <c r="C57" s="126"/>
      <c r="D57" s="159"/>
      <c r="E57" s="126"/>
      <c r="F57" s="126"/>
      <c r="G57" s="159"/>
      <c r="H57" s="127">
        <v>516.45</v>
      </c>
      <c r="I57" s="127">
        <v>516.45</v>
      </c>
      <c r="J57" s="127">
        <f t="shared" si="0"/>
        <v>0</v>
      </c>
      <c r="K57" s="128">
        <f t="shared" si="1"/>
        <v>0</v>
      </c>
      <c r="L57" s="129">
        <v>0</v>
      </c>
      <c r="N57" s="110"/>
      <c r="O57" s="110"/>
      <c r="P57" s="110"/>
      <c r="Q57" s="110"/>
      <c r="R57" s="124"/>
    </row>
    <row r="58" spans="1:18" ht="12.75">
      <c r="A58" s="125" t="s">
        <v>147</v>
      </c>
      <c r="B58" s="126" t="s">
        <v>36</v>
      </c>
      <c r="C58" s="126"/>
      <c r="D58" s="159"/>
      <c r="E58" s="126"/>
      <c r="F58" s="126"/>
      <c r="G58" s="159"/>
      <c r="H58" s="127">
        <v>3189.44</v>
      </c>
      <c r="I58" s="127">
        <v>3189.44</v>
      </c>
      <c r="J58" s="127">
        <f t="shared" si="0"/>
        <v>0</v>
      </c>
      <c r="K58" s="128">
        <f t="shared" si="1"/>
        <v>0</v>
      </c>
      <c r="L58" s="129">
        <v>0</v>
      </c>
      <c r="N58" s="110"/>
      <c r="O58" s="110"/>
      <c r="P58" s="110"/>
      <c r="Q58" s="110"/>
      <c r="R58" s="124"/>
    </row>
    <row r="59" spans="1:18" ht="12.75">
      <c r="A59" s="125" t="s">
        <v>148</v>
      </c>
      <c r="B59" s="126" t="s">
        <v>36</v>
      </c>
      <c r="C59" s="126"/>
      <c r="D59" s="159"/>
      <c r="E59" s="126"/>
      <c r="F59" s="126"/>
      <c r="G59" s="159"/>
      <c r="H59" s="127">
        <v>533.96</v>
      </c>
      <c r="I59" s="127">
        <v>533.96</v>
      </c>
      <c r="J59" s="127">
        <f t="shared" si="0"/>
        <v>0</v>
      </c>
      <c r="K59" s="128">
        <f t="shared" si="1"/>
        <v>0</v>
      </c>
      <c r="L59" s="129">
        <v>0</v>
      </c>
      <c r="N59" s="110"/>
      <c r="O59" s="110"/>
      <c r="P59" s="110"/>
      <c r="Q59" s="110"/>
      <c r="R59" s="124"/>
    </row>
    <row r="60" spans="1:18" ht="12.75">
      <c r="A60" s="125" t="s">
        <v>149</v>
      </c>
      <c r="B60" s="126" t="s">
        <v>51</v>
      </c>
      <c r="C60" s="126"/>
      <c r="D60" s="159">
        <v>1</v>
      </c>
      <c r="E60" s="126"/>
      <c r="F60" s="126"/>
      <c r="G60" s="159">
        <v>1</v>
      </c>
      <c r="H60" s="127">
        <v>1381.38</v>
      </c>
      <c r="I60" s="127">
        <v>1377.72</v>
      </c>
      <c r="J60" s="127">
        <f t="shared" si="0"/>
        <v>3.660000000000082</v>
      </c>
      <c r="K60" s="128">
        <f t="shared" si="1"/>
        <v>0.0026495243886548825</v>
      </c>
      <c r="L60" s="129">
        <v>0</v>
      </c>
      <c r="N60" s="110"/>
      <c r="O60" s="110"/>
      <c r="P60" s="110"/>
      <c r="Q60" s="110"/>
      <c r="R60" s="124"/>
    </row>
    <row r="61" spans="1:18" ht="12.75">
      <c r="A61" s="125" t="s">
        <v>150</v>
      </c>
      <c r="B61" s="126" t="s">
        <v>36</v>
      </c>
      <c r="C61" s="126"/>
      <c r="D61" s="159"/>
      <c r="E61" s="126"/>
      <c r="F61" s="126"/>
      <c r="G61" s="159"/>
      <c r="H61" s="127">
        <v>1747.18</v>
      </c>
      <c r="I61" s="127">
        <v>1747.18</v>
      </c>
      <c r="J61" s="127">
        <f t="shared" si="0"/>
        <v>0</v>
      </c>
      <c r="K61" s="128">
        <f t="shared" si="1"/>
        <v>0</v>
      </c>
      <c r="L61" s="129">
        <v>0</v>
      </c>
      <c r="N61" s="110"/>
      <c r="O61" s="110"/>
      <c r="P61" s="110"/>
      <c r="Q61" s="110"/>
      <c r="R61" s="124"/>
    </row>
    <row r="62" spans="1:18" ht="12.75">
      <c r="A62" s="125" t="s">
        <v>151</v>
      </c>
      <c r="B62" s="126" t="s">
        <v>36</v>
      </c>
      <c r="C62" s="126"/>
      <c r="D62" s="159"/>
      <c r="E62" s="126"/>
      <c r="F62" s="126"/>
      <c r="G62" s="159"/>
      <c r="H62" s="127">
        <v>2490.47</v>
      </c>
      <c r="I62" s="127">
        <v>2490.47</v>
      </c>
      <c r="J62" s="127">
        <f t="shared" si="0"/>
        <v>0</v>
      </c>
      <c r="K62" s="128">
        <f t="shared" si="1"/>
        <v>0</v>
      </c>
      <c r="L62" s="129">
        <v>0</v>
      </c>
      <c r="N62" s="110"/>
      <c r="O62" s="110"/>
      <c r="P62" s="110"/>
      <c r="Q62" s="110"/>
      <c r="R62" s="124"/>
    </row>
    <row r="63" spans="1:18" ht="12.75">
      <c r="A63" s="125" t="s">
        <v>152</v>
      </c>
      <c r="B63" s="126" t="s">
        <v>36</v>
      </c>
      <c r="C63" s="126"/>
      <c r="D63" s="159"/>
      <c r="E63" s="126"/>
      <c r="F63" s="126"/>
      <c r="G63" s="159"/>
      <c r="H63" s="127">
        <v>3053.15</v>
      </c>
      <c r="I63" s="127">
        <v>3053.15</v>
      </c>
      <c r="J63" s="127">
        <f t="shared" si="0"/>
        <v>0</v>
      </c>
      <c r="K63" s="128">
        <f t="shared" si="1"/>
        <v>0</v>
      </c>
      <c r="L63" s="129">
        <v>0</v>
      </c>
      <c r="N63" s="110"/>
      <c r="O63" s="110"/>
      <c r="P63" s="110"/>
      <c r="Q63" s="110"/>
      <c r="R63" s="124"/>
    </row>
    <row r="64" spans="1:18" ht="12.75">
      <c r="A64" s="125" t="s">
        <v>153</v>
      </c>
      <c r="B64" s="126" t="s">
        <v>36</v>
      </c>
      <c r="C64" s="126"/>
      <c r="D64" s="159"/>
      <c r="E64" s="126"/>
      <c r="F64" s="126"/>
      <c r="G64" s="159"/>
      <c r="H64" s="127">
        <v>1974.4</v>
      </c>
      <c r="I64" s="127">
        <v>1974.4</v>
      </c>
      <c r="J64" s="127">
        <f t="shared" si="0"/>
        <v>0</v>
      </c>
      <c r="K64" s="128">
        <f t="shared" si="1"/>
        <v>0</v>
      </c>
      <c r="L64" s="129">
        <v>0</v>
      </c>
      <c r="N64" s="110"/>
      <c r="O64" s="110"/>
      <c r="P64" s="110"/>
      <c r="Q64" s="110"/>
      <c r="R64" s="124"/>
    </row>
    <row r="65" spans="1:18" ht="12.75">
      <c r="A65" s="125" t="s">
        <v>154</v>
      </c>
      <c r="B65" s="126" t="s">
        <v>51</v>
      </c>
      <c r="C65" s="126"/>
      <c r="D65" s="159">
        <v>1</v>
      </c>
      <c r="E65" s="126"/>
      <c r="F65" s="126"/>
      <c r="G65" s="159">
        <v>1</v>
      </c>
      <c r="H65" s="127">
        <v>1795.95</v>
      </c>
      <c r="I65" s="127">
        <v>1792.99</v>
      </c>
      <c r="J65" s="127">
        <f t="shared" si="0"/>
        <v>2.9600000000000364</v>
      </c>
      <c r="K65" s="128">
        <f t="shared" si="1"/>
        <v>0.001648152788217955</v>
      </c>
      <c r="L65" s="129">
        <v>0</v>
      </c>
      <c r="N65" s="110"/>
      <c r="O65" s="110"/>
      <c r="P65" s="110"/>
      <c r="Q65" s="110"/>
      <c r="R65" s="124"/>
    </row>
    <row r="66" spans="1:18" ht="12.75">
      <c r="A66" s="125" t="s">
        <v>155</v>
      </c>
      <c r="B66" s="126" t="s">
        <v>36</v>
      </c>
      <c r="C66" s="126"/>
      <c r="D66" s="159"/>
      <c r="E66" s="126"/>
      <c r="F66" s="126"/>
      <c r="G66" s="159"/>
      <c r="H66" s="127">
        <v>4190.4</v>
      </c>
      <c r="I66" s="127">
        <v>4190.4</v>
      </c>
      <c r="J66" s="127">
        <f t="shared" si="0"/>
        <v>0</v>
      </c>
      <c r="K66" s="128">
        <f t="shared" si="1"/>
        <v>0</v>
      </c>
      <c r="L66" s="129">
        <v>0</v>
      </c>
      <c r="N66" s="110"/>
      <c r="O66" s="110"/>
      <c r="P66" s="110"/>
      <c r="Q66" s="110"/>
      <c r="R66" s="124"/>
    </row>
    <row r="67" spans="1:18" ht="12.75">
      <c r="A67" s="125" t="s">
        <v>156</v>
      </c>
      <c r="B67" s="126" t="s">
        <v>51</v>
      </c>
      <c r="C67" s="126"/>
      <c r="D67" s="159">
        <v>1</v>
      </c>
      <c r="E67" s="126"/>
      <c r="F67" s="126"/>
      <c r="G67" s="159">
        <v>1</v>
      </c>
      <c r="H67" s="127">
        <v>2184.94</v>
      </c>
      <c r="I67" s="127">
        <v>2124.53</v>
      </c>
      <c r="J67" s="127">
        <f t="shared" si="0"/>
        <v>60.409999999999854</v>
      </c>
      <c r="K67" s="128">
        <f t="shared" si="1"/>
        <v>0.027648356476607985</v>
      </c>
      <c r="L67" s="129">
        <v>0</v>
      </c>
      <c r="N67" s="110"/>
      <c r="O67" s="110"/>
      <c r="P67" s="110"/>
      <c r="Q67" s="110"/>
      <c r="R67" s="124"/>
    </row>
    <row r="68" spans="1:18" ht="12.75">
      <c r="A68" s="125" t="s">
        <v>157</v>
      </c>
      <c r="B68" s="126" t="s">
        <v>36</v>
      </c>
      <c r="C68" s="126"/>
      <c r="D68" s="159"/>
      <c r="E68" s="126"/>
      <c r="F68" s="126"/>
      <c r="G68" s="159"/>
      <c r="H68" s="127">
        <v>3972.05</v>
      </c>
      <c r="I68" s="127">
        <v>3972.05</v>
      </c>
      <c r="J68" s="127">
        <f t="shared" si="0"/>
        <v>0</v>
      </c>
      <c r="K68" s="128">
        <f t="shared" si="1"/>
        <v>0</v>
      </c>
      <c r="L68" s="129">
        <v>0</v>
      </c>
      <c r="N68" s="110"/>
      <c r="O68" s="110"/>
      <c r="P68" s="110"/>
      <c r="Q68" s="110"/>
      <c r="R68" s="124"/>
    </row>
    <row r="69" spans="1:18" ht="12.75">
      <c r="A69" s="125" t="s">
        <v>158</v>
      </c>
      <c r="B69" s="126" t="s">
        <v>36</v>
      </c>
      <c r="C69" s="126"/>
      <c r="D69" s="159"/>
      <c r="E69" s="126"/>
      <c r="F69" s="126"/>
      <c r="G69" s="159"/>
      <c r="H69" s="127">
        <v>1997.63</v>
      </c>
      <c r="I69" s="127">
        <v>1997.63</v>
      </c>
      <c r="J69" s="127">
        <f t="shared" si="0"/>
        <v>0</v>
      </c>
      <c r="K69" s="128">
        <f t="shared" si="1"/>
        <v>0</v>
      </c>
      <c r="L69" s="129">
        <v>0</v>
      </c>
      <c r="N69" s="110"/>
      <c r="O69" s="110"/>
      <c r="P69" s="110"/>
      <c r="Q69" s="110"/>
      <c r="R69" s="124"/>
    </row>
    <row r="70" spans="1:18" ht="12.75">
      <c r="A70" s="125" t="s">
        <v>159</v>
      </c>
      <c r="B70" s="126" t="s">
        <v>51</v>
      </c>
      <c r="C70" s="126"/>
      <c r="D70" s="159">
        <v>1</v>
      </c>
      <c r="E70" s="126"/>
      <c r="F70" s="126"/>
      <c r="G70" s="159">
        <v>1</v>
      </c>
      <c r="H70" s="127">
        <v>1797.97</v>
      </c>
      <c r="I70" s="127">
        <v>1794.87</v>
      </c>
      <c r="J70" s="127">
        <f t="shared" si="0"/>
        <v>3.1000000000001364</v>
      </c>
      <c r="K70" s="128">
        <f t="shared" si="1"/>
        <v>0.0017241666991107396</v>
      </c>
      <c r="L70" s="129">
        <v>0</v>
      </c>
      <c r="N70" s="110"/>
      <c r="O70" s="110"/>
      <c r="P70" s="110"/>
      <c r="Q70" s="110"/>
      <c r="R70" s="124"/>
    </row>
    <row r="71" spans="1:18" ht="12.75">
      <c r="A71" s="125" t="s">
        <v>160</v>
      </c>
      <c r="B71" s="126" t="s">
        <v>36</v>
      </c>
      <c r="C71" s="126"/>
      <c r="D71" s="159"/>
      <c r="E71" s="126"/>
      <c r="F71" s="126"/>
      <c r="G71" s="159"/>
      <c r="H71" s="127">
        <v>2148.58</v>
      </c>
      <c r="I71" s="127">
        <v>2148.58</v>
      </c>
      <c r="J71" s="127">
        <f t="shared" si="0"/>
        <v>0</v>
      </c>
      <c r="K71" s="128">
        <f t="shared" si="1"/>
        <v>0</v>
      </c>
      <c r="L71" s="129">
        <v>0</v>
      </c>
      <c r="N71" s="110"/>
      <c r="O71" s="110"/>
      <c r="P71" s="110"/>
      <c r="Q71" s="110"/>
      <c r="R71" s="124"/>
    </row>
    <row r="72" spans="1:18" ht="12.75">
      <c r="A72" s="125" t="s">
        <v>161</v>
      </c>
      <c r="B72" s="126" t="s">
        <v>36</v>
      </c>
      <c r="C72" s="126"/>
      <c r="D72" s="159"/>
      <c r="E72" s="126"/>
      <c r="F72" s="126"/>
      <c r="G72" s="159"/>
      <c r="H72" s="127">
        <v>1183.13</v>
      </c>
      <c r="I72" s="127">
        <v>1183.13</v>
      </c>
      <c r="J72" s="127">
        <f t="shared" si="0"/>
        <v>0</v>
      </c>
      <c r="K72" s="128">
        <f t="shared" si="1"/>
        <v>0</v>
      </c>
      <c r="L72" s="129">
        <v>0</v>
      </c>
      <c r="N72" s="110"/>
      <c r="O72" s="110"/>
      <c r="P72" s="110"/>
      <c r="Q72" s="110"/>
      <c r="R72" s="124"/>
    </row>
    <row r="73" spans="1:18" ht="12.75">
      <c r="A73" s="125" t="s">
        <v>162</v>
      </c>
      <c r="B73" s="126" t="s">
        <v>36</v>
      </c>
      <c r="C73" s="126"/>
      <c r="D73" s="159"/>
      <c r="E73" s="126"/>
      <c r="F73" s="126"/>
      <c r="G73" s="159"/>
      <c r="H73" s="127">
        <v>592.89</v>
      </c>
      <c r="I73" s="127">
        <v>592.89</v>
      </c>
      <c r="J73" s="127">
        <f t="shared" si="0"/>
        <v>0</v>
      </c>
      <c r="K73" s="128">
        <f t="shared" si="1"/>
        <v>0</v>
      </c>
      <c r="L73" s="129">
        <v>0</v>
      </c>
      <c r="N73" s="110"/>
      <c r="O73" s="110"/>
      <c r="P73" s="110"/>
      <c r="Q73" s="110"/>
      <c r="R73" s="124"/>
    </row>
    <row r="74" spans="1:18" ht="12.75">
      <c r="A74" s="125" t="s">
        <v>163</v>
      </c>
      <c r="B74" s="126" t="s">
        <v>36</v>
      </c>
      <c r="C74" s="126"/>
      <c r="D74" s="159"/>
      <c r="E74" s="126"/>
      <c r="F74" s="126"/>
      <c r="G74" s="159"/>
      <c r="H74" s="127">
        <v>230.06</v>
      </c>
      <c r="I74" s="127">
        <v>230.06</v>
      </c>
      <c r="J74" s="127">
        <f aca="true" t="shared" si="2" ref="J74:J119">H74-I74</f>
        <v>0</v>
      </c>
      <c r="K74" s="128">
        <f aca="true" t="shared" si="3" ref="K74:K119">J74/H74</f>
        <v>0</v>
      </c>
      <c r="L74" s="129">
        <v>0</v>
      </c>
      <c r="N74" s="110"/>
      <c r="O74" s="110"/>
      <c r="P74" s="110"/>
      <c r="Q74" s="110"/>
      <c r="R74" s="124"/>
    </row>
    <row r="75" spans="1:18" ht="12.75">
      <c r="A75" s="125" t="s">
        <v>164</v>
      </c>
      <c r="B75" s="126" t="s">
        <v>36</v>
      </c>
      <c r="C75" s="126"/>
      <c r="D75" s="159"/>
      <c r="E75" s="126"/>
      <c r="F75" s="126"/>
      <c r="G75" s="159"/>
      <c r="H75" s="127">
        <v>173</v>
      </c>
      <c r="I75" s="127">
        <v>173</v>
      </c>
      <c r="J75" s="127">
        <f t="shared" si="2"/>
        <v>0</v>
      </c>
      <c r="K75" s="128">
        <f t="shared" si="3"/>
        <v>0</v>
      </c>
      <c r="L75" s="129">
        <v>0</v>
      </c>
      <c r="N75" s="110"/>
      <c r="O75" s="110"/>
      <c r="P75" s="110"/>
      <c r="Q75" s="110"/>
      <c r="R75" s="124"/>
    </row>
    <row r="76" spans="1:18" ht="12.75">
      <c r="A76" s="125" t="s">
        <v>165</v>
      </c>
      <c r="B76" s="126" t="s">
        <v>36</v>
      </c>
      <c r="C76" s="126"/>
      <c r="D76" s="159"/>
      <c r="E76" s="126"/>
      <c r="F76" s="126"/>
      <c r="G76" s="159"/>
      <c r="H76" s="127">
        <v>271.84</v>
      </c>
      <c r="I76" s="127">
        <v>271.84</v>
      </c>
      <c r="J76" s="127">
        <f t="shared" si="2"/>
        <v>0</v>
      </c>
      <c r="K76" s="128">
        <f t="shared" si="3"/>
        <v>0</v>
      </c>
      <c r="L76" s="129">
        <v>0</v>
      </c>
      <c r="N76" s="110"/>
      <c r="O76" s="110"/>
      <c r="P76" s="110"/>
      <c r="Q76" s="110"/>
      <c r="R76" s="124"/>
    </row>
    <row r="77" spans="1:18" ht="12.75">
      <c r="A77" s="125" t="s">
        <v>166</v>
      </c>
      <c r="B77" s="126" t="s">
        <v>36</v>
      </c>
      <c r="C77" s="126"/>
      <c r="D77" s="159"/>
      <c r="E77" s="126"/>
      <c r="F77" s="126"/>
      <c r="G77" s="159"/>
      <c r="H77" s="127">
        <v>421.87</v>
      </c>
      <c r="I77" s="127">
        <v>421.87</v>
      </c>
      <c r="J77" s="127">
        <f t="shared" si="2"/>
        <v>0</v>
      </c>
      <c r="K77" s="128">
        <f t="shared" si="3"/>
        <v>0</v>
      </c>
      <c r="L77" s="129">
        <v>0</v>
      </c>
      <c r="N77" s="110"/>
      <c r="O77" s="110"/>
      <c r="P77" s="110"/>
      <c r="Q77" s="110"/>
      <c r="R77" s="124"/>
    </row>
    <row r="78" spans="1:18" ht="12.75">
      <c r="A78" s="125" t="s">
        <v>167</v>
      </c>
      <c r="B78" s="126" t="s">
        <v>36</v>
      </c>
      <c r="C78" s="126"/>
      <c r="D78" s="159"/>
      <c r="E78" s="126"/>
      <c r="F78" s="126"/>
      <c r="G78" s="159"/>
      <c r="H78" s="127">
        <v>700.32</v>
      </c>
      <c r="I78" s="127">
        <v>700.32</v>
      </c>
      <c r="J78" s="127">
        <f t="shared" si="2"/>
        <v>0</v>
      </c>
      <c r="K78" s="128">
        <f t="shared" si="3"/>
        <v>0</v>
      </c>
      <c r="L78" s="129">
        <v>0</v>
      </c>
      <c r="N78" s="110"/>
      <c r="O78" s="110"/>
      <c r="P78" s="110"/>
      <c r="Q78" s="110"/>
      <c r="R78" s="124"/>
    </row>
    <row r="79" spans="1:18" ht="12.75">
      <c r="A79" s="125" t="s">
        <v>168</v>
      </c>
      <c r="B79" s="126" t="s">
        <v>36</v>
      </c>
      <c r="C79" s="126"/>
      <c r="D79" s="159"/>
      <c r="E79" s="126"/>
      <c r="F79" s="126"/>
      <c r="G79" s="159"/>
      <c r="H79" s="127">
        <v>894.72</v>
      </c>
      <c r="I79" s="127">
        <v>894.72</v>
      </c>
      <c r="J79" s="127">
        <f t="shared" si="2"/>
        <v>0</v>
      </c>
      <c r="K79" s="128">
        <f t="shared" si="3"/>
        <v>0</v>
      </c>
      <c r="L79" s="129">
        <v>0</v>
      </c>
      <c r="N79" s="110"/>
      <c r="O79" s="110"/>
      <c r="P79" s="110"/>
      <c r="Q79" s="110"/>
      <c r="R79" s="124"/>
    </row>
    <row r="80" spans="1:18" ht="12.75">
      <c r="A80" s="125" t="s">
        <v>169</v>
      </c>
      <c r="B80" s="126" t="s">
        <v>36</v>
      </c>
      <c r="C80" s="126"/>
      <c r="D80" s="159"/>
      <c r="E80" s="126"/>
      <c r="F80" s="126"/>
      <c r="G80" s="159"/>
      <c r="H80" s="127">
        <v>1282.35</v>
      </c>
      <c r="I80" s="127">
        <v>1282.35</v>
      </c>
      <c r="J80" s="127">
        <f t="shared" si="2"/>
        <v>0</v>
      </c>
      <c r="K80" s="128">
        <f t="shared" si="3"/>
        <v>0</v>
      </c>
      <c r="L80" s="129">
        <v>0</v>
      </c>
      <c r="N80" s="110"/>
      <c r="O80" s="110"/>
      <c r="P80" s="110"/>
      <c r="Q80" s="110"/>
      <c r="R80" s="124"/>
    </row>
    <row r="81" spans="1:18" ht="12.75">
      <c r="A81" s="125" t="s">
        <v>170</v>
      </c>
      <c r="B81" s="126" t="s">
        <v>36</v>
      </c>
      <c r="C81" s="126"/>
      <c r="D81" s="159"/>
      <c r="E81" s="126"/>
      <c r="F81" s="126"/>
      <c r="G81" s="159"/>
      <c r="H81" s="127">
        <v>908.79</v>
      </c>
      <c r="I81" s="127">
        <v>908.79</v>
      </c>
      <c r="J81" s="127">
        <f t="shared" si="2"/>
        <v>0</v>
      </c>
      <c r="K81" s="128">
        <f t="shared" si="3"/>
        <v>0</v>
      </c>
      <c r="L81" s="129">
        <v>0</v>
      </c>
      <c r="N81" s="110"/>
      <c r="O81" s="110"/>
      <c r="P81" s="110"/>
      <c r="Q81" s="110"/>
      <c r="R81" s="124"/>
    </row>
    <row r="82" spans="1:18" ht="12.75">
      <c r="A82" s="125" t="s">
        <v>171</v>
      </c>
      <c r="B82" s="126" t="s">
        <v>36</v>
      </c>
      <c r="C82" s="126"/>
      <c r="D82" s="159"/>
      <c r="E82" s="126"/>
      <c r="F82" s="126"/>
      <c r="G82" s="159"/>
      <c r="H82" s="127">
        <v>1615.27</v>
      </c>
      <c r="I82" s="127">
        <v>1615.27</v>
      </c>
      <c r="J82" s="127">
        <f t="shared" si="2"/>
        <v>0</v>
      </c>
      <c r="K82" s="128">
        <f t="shared" si="3"/>
        <v>0</v>
      </c>
      <c r="L82" s="129">
        <v>0</v>
      </c>
      <c r="N82" s="110"/>
      <c r="O82" s="110"/>
      <c r="P82" s="110"/>
      <c r="Q82" s="110"/>
      <c r="R82" s="124"/>
    </row>
    <row r="83" spans="1:18" ht="12.75">
      <c r="A83" s="125" t="s">
        <v>172</v>
      </c>
      <c r="B83" s="126" t="s">
        <v>36</v>
      </c>
      <c r="C83" s="126"/>
      <c r="D83" s="159"/>
      <c r="E83" s="126"/>
      <c r="F83" s="126"/>
      <c r="G83" s="159"/>
      <c r="H83" s="127">
        <v>396.88</v>
      </c>
      <c r="I83" s="127">
        <v>396.88</v>
      </c>
      <c r="J83" s="127">
        <f t="shared" si="2"/>
        <v>0</v>
      </c>
      <c r="K83" s="128">
        <f t="shared" si="3"/>
        <v>0</v>
      </c>
      <c r="L83" s="129">
        <v>0</v>
      </c>
      <c r="N83" s="110"/>
      <c r="O83" s="110"/>
      <c r="P83" s="110"/>
      <c r="Q83" s="110"/>
      <c r="R83" s="124"/>
    </row>
    <row r="84" spans="1:18" ht="12.75">
      <c r="A84" s="125" t="s">
        <v>173</v>
      </c>
      <c r="B84" s="126" t="s">
        <v>36</v>
      </c>
      <c r="C84" s="126"/>
      <c r="D84" s="159"/>
      <c r="E84" s="126"/>
      <c r="F84" s="126"/>
      <c r="G84" s="159"/>
      <c r="H84" s="127">
        <v>295.29</v>
      </c>
      <c r="I84" s="127">
        <v>295.29</v>
      </c>
      <c r="J84" s="127">
        <f t="shared" si="2"/>
        <v>0</v>
      </c>
      <c r="K84" s="128">
        <f t="shared" si="3"/>
        <v>0</v>
      </c>
      <c r="L84" s="129">
        <v>0</v>
      </c>
      <c r="N84" s="110"/>
      <c r="O84" s="110"/>
      <c r="P84" s="110"/>
      <c r="Q84" s="110"/>
      <c r="R84" s="124"/>
    </row>
    <row r="85" spans="1:18" ht="12.75">
      <c r="A85" s="125" t="s">
        <v>174</v>
      </c>
      <c r="B85" s="126" t="s">
        <v>51</v>
      </c>
      <c r="C85" s="126"/>
      <c r="D85" s="159">
        <v>1</v>
      </c>
      <c r="E85" s="126"/>
      <c r="F85" s="126"/>
      <c r="G85" s="159">
        <v>1</v>
      </c>
      <c r="H85" s="127">
        <v>10782.09</v>
      </c>
      <c r="I85" s="127">
        <v>10669.38</v>
      </c>
      <c r="J85" s="127">
        <f t="shared" si="2"/>
        <v>112.71000000000095</v>
      </c>
      <c r="K85" s="128">
        <f t="shared" si="3"/>
        <v>0.010453446409740686</v>
      </c>
      <c r="L85" s="129">
        <v>0</v>
      </c>
      <c r="N85" s="110"/>
      <c r="O85" s="110"/>
      <c r="P85" s="110"/>
      <c r="Q85" s="110"/>
      <c r="R85" s="124"/>
    </row>
    <row r="86" spans="1:18" ht="12.75">
      <c r="A86" s="125" t="s">
        <v>175</v>
      </c>
      <c r="B86" s="126" t="s">
        <v>36</v>
      </c>
      <c r="C86" s="126"/>
      <c r="D86" s="159"/>
      <c r="E86" s="126"/>
      <c r="F86" s="126"/>
      <c r="G86" s="159"/>
      <c r="H86" s="127">
        <v>249.67</v>
      </c>
      <c r="I86" s="127">
        <v>249.67</v>
      </c>
      <c r="J86" s="127">
        <f t="shared" si="2"/>
        <v>0</v>
      </c>
      <c r="K86" s="128">
        <f t="shared" si="3"/>
        <v>0</v>
      </c>
      <c r="L86" s="129">
        <v>0</v>
      </c>
      <c r="N86" s="110"/>
      <c r="O86" s="110"/>
      <c r="P86" s="110"/>
      <c r="Q86" s="110"/>
      <c r="R86" s="124"/>
    </row>
    <row r="87" spans="1:18" ht="12.75">
      <c r="A87" s="125" t="s">
        <v>176</v>
      </c>
      <c r="B87" s="126" t="s">
        <v>36</v>
      </c>
      <c r="C87" s="126"/>
      <c r="D87" s="159"/>
      <c r="E87" s="126"/>
      <c r="F87" s="126"/>
      <c r="G87" s="159"/>
      <c r="H87" s="127">
        <v>481.68</v>
      </c>
      <c r="I87" s="127">
        <v>481.68</v>
      </c>
      <c r="J87" s="127">
        <f t="shared" si="2"/>
        <v>0</v>
      </c>
      <c r="K87" s="128">
        <f t="shared" si="3"/>
        <v>0</v>
      </c>
      <c r="L87" s="129">
        <v>0</v>
      </c>
      <c r="N87" s="110"/>
      <c r="O87" s="110"/>
      <c r="P87" s="110"/>
      <c r="Q87" s="110"/>
      <c r="R87" s="124"/>
    </row>
    <row r="88" spans="1:18" ht="12.75">
      <c r="A88" s="125" t="s">
        <v>177</v>
      </c>
      <c r="B88" s="126" t="s">
        <v>36</v>
      </c>
      <c r="C88" s="126"/>
      <c r="D88" s="159"/>
      <c r="E88" s="126"/>
      <c r="F88" s="126"/>
      <c r="G88" s="159"/>
      <c r="H88" s="127">
        <v>647.38</v>
      </c>
      <c r="I88" s="127">
        <v>647.38</v>
      </c>
      <c r="J88" s="127">
        <f t="shared" si="2"/>
        <v>0</v>
      </c>
      <c r="K88" s="128">
        <f t="shared" si="3"/>
        <v>0</v>
      </c>
      <c r="L88" s="129">
        <v>0</v>
      </c>
      <c r="N88" s="110"/>
      <c r="O88" s="110"/>
      <c r="P88" s="110"/>
      <c r="Q88" s="110"/>
      <c r="R88" s="124"/>
    </row>
    <row r="89" spans="1:18" ht="12.75">
      <c r="A89" s="125" t="s">
        <v>178</v>
      </c>
      <c r="B89" s="126" t="s">
        <v>51</v>
      </c>
      <c r="C89" s="126"/>
      <c r="D89" s="159">
        <v>1</v>
      </c>
      <c r="E89" s="126"/>
      <c r="F89" s="126"/>
      <c r="G89" s="159">
        <v>1</v>
      </c>
      <c r="H89" s="127">
        <v>459.82</v>
      </c>
      <c r="I89" s="127">
        <v>459.14</v>
      </c>
      <c r="J89" s="127">
        <f t="shared" si="2"/>
        <v>0.6800000000000068</v>
      </c>
      <c r="K89" s="128">
        <f t="shared" si="3"/>
        <v>0.0014788395459092837</v>
      </c>
      <c r="L89" s="129">
        <v>0</v>
      </c>
      <c r="N89" s="110"/>
      <c r="O89" s="110"/>
      <c r="P89" s="110"/>
      <c r="Q89" s="110"/>
      <c r="R89" s="124"/>
    </row>
    <row r="90" spans="1:18" ht="12.75">
      <c r="A90" s="125" t="s">
        <v>179</v>
      </c>
      <c r="B90" s="126" t="s">
        <v>51</v>
      </c>
      <c r="C90" s="126"/>
      <c r="D90" s="159">
        <v>1</v>
      </c>
      <c r="E90" s="126"/>
      <c r="F90" s="126"/>
      <c r="G90" s="159">
        <v>1</v>
      </c>
      <c r="H90" s="127">
        <v>451.74</v>
      </c>
      <c r="I90" s="127">
        <v>446.43</v>
      </c>
      <c r="J90" s="127">
        <f t="shared" si="2"/>
        <v>5.310000000000002</v>
      </c>
      <c r="K90" s="128">
        <f t="shared" si="3"/>
        <v>0.011754549076902649</v>
      </c>
      <c r="L90" s="129">
        <v>0</v>
      </c>
      <c r="N90" s="110"/>
      <c r="O90" s="110"/>
      <c r="P90" s="110"/>
      <c r="Q90" s="110"/>
      <c r="R90" s="124"/>
    </row>
    <row r="91" spans="1:18" ht="12.75">
      <c r="A91" s="125" t="s">
        <v>180</v>
      </c>
      <c r="B91" s="126" t="s">
        <v>36</v>
      </c>
      <c r="C91" s="126"/>
      <c r="D91" s="159"/>
      <c r="E91" s="126"/>
      <c r="F91" s="126"/>
      <c r="G91" s="159"/>
      <c r="H91" s="127">
        <v>947.78</v>
      </c>
      <c r="I91" s="127">
        <v>947.78</v>
      </c>
      <c r="J91" s="127">
        <f t="shared" si="2"/>
        <v>0</v>
      </c>
      <c r="K91" s="128">
        <f t="shared" si="3"/>
        <v>0</v>
      </c>
      <c r="L91" s="129">
        <v>0</v>
      </c>
      <c r="N91" s="110"/>
      <c r="O91" s="110"/>
      <c r="P91" s="110"/>
      <c r="Q91" s="110"/>
      <c r="R91" s="124"/>
    </row>
    <row r="92" spans="1:18" ht="14.25" customHeight="1">
      <c r="A92" s="125" t="s">
        <v>181</v>
      </c>
      <c r="B92" s="126" t="s">
        <v>36</v>
      </c>
      <c r="C92" s="126"/>
      <c r="D92" s="159"/>
      <c r="E92" s="126"/>
      <c r="F92" s="126"/>
      <c r="G92" s="159"/>
      <c r="H92" s="127">
        <v>524.82</v>
      </c>
      <c r="I92" s="127">
        <v>524.82</v>
      </c>
      <c r="J92" s="127">
        <f t="shared" si="2"/>
        <v>0</v>
      </c>
      <c r="K92" s="128">
        <f t="shared" si="3"/>
        <v>0</v>
      </c>
      <c r="L92" s="129">
        <v>0</v>
      </c>
      <c r="N92" s="110"/>
      <c r="O92" s="110"/>
      <c r="P92" s="110"/>
      <c r="Q92" s="110"/>
      <c r="R92" s="124"/>
    </row>
    <row r="93" spans="1:18" ht="12.75">
      <c r="A93" s="125" t="s">
        <v>182</v>
      </c>
      <c r="B93" s="126" t="s">
        <v>36</v>
      </c>
      <c r="C93" s="126"/>
      <c r="D93" s="159"/>
      <c r="E93" s="126"/>
      <c r="F93" s="126"/>
      <c r="G93" s="159"/>
      <c r="H93" s="127">
        <v>2544.12</v>
      </c>
      <c r="I93" s="127">
        <v>2544.12</v>
      </c>
      <c r="J93" s="127">
        <f t="shared" si="2"/>
        <v>0</v>
      </c>
      <c r="K93" s="128">
        <f t="shared" si="3"/>
        <v>0</v>
      </c>
      <c r="L93" s="129">
        <v>0</v>
      </c>
      <c r="N93" s="110"/>
      <c r="O93" s="110"/>
      <c r="P93" s="110"/>
      <c r="Q93" s="110"/>
      <c r="R93" s="124"/>
    </row>
    <row r="94" spans="1:18" ht="12.75">
      <c r="A94" s="125" t="s">
        <v>183</v>
      </c>
      <c r="B94" s="126" t="s">
        <v>36</v>
      </c>
      <c r="C94" s="126"/>
      <c r="D94" s="159"/>
      <c r="E94" s="126"/>
      <c r="F94" s="126"/>
      <c r="G94" s="159"/>
      <c r="H94" s="127">
        <v>2393.71</v>
      </c>
      <c r="I94" s="127">
        <v>2393.71</v>
      </c>
      <c r="J94" s="127">
        <f t="shared" si="2"/>
        <v>0</v>
      </c>
      <c r="K94" s="128">
        <f t="shared" si="3"/>
        <v>0</v>
      </c>
      <c r="L94" s="129">
        <v>0</v>
      </c>
      <c r="N94" s="110"/>
      <c r="O94" s="110"/>
      <c r="P94" s="110"/>
      <c r="Q94" s="110"/>
      <c r="R94" s="124"/>
    </row>
    <row r="95" spans="1:18" ht="12.75">
      <c r="A95" s="125" t="s">
        <v>184</v>
      </c>
      <c r="B95" s="126" t="s">
        <v>36</v>
      </c>
      <c r="C95" s="126"/>
      <c r="D95" s="159"/>
      <c r="E95" s="126"/>
      <c r="F95" s="126"/>
      <c r="G95" s="159"/>
      <c r="H95" s="127">
        <v>299.81</v>
      </c>
      <c r="I95" s="127">
        <v>299.81</v>
      </c>
      <c r="J95" s="127">
        <f t="shared" si="2"/>
        <v>0</v>
      </c>
      <c r="K95" s="128">
        <f t="shared" si="3"/>
        <v>0</v>
      </c>
      <c r="L95" s="129">
        <v>0</v>
      </c>
      <c r="N95" s="110"/>
      <c r="O95" s="110"/>
      <c r="P95" s="110"/>
      <c r="Q95" s="110"/>
      <c r="R95" s="124"/>
    </row>
    <row r="96" spans="1:18" ht="12.75">
      <c r="A96" s="125" t="s">
        <v>185</v>
      </c>
      <c r="B96" s="126" t="s">
        <v>36</v>
      </c>
      <c r="C96" s="126"/>
      <c r="D96" s="159"/>
      <c r="E96" s="126"/>
      <c r="F96" s="126"/>
      <c r="G96" s="159"/>
      <c r="H96" s="127">
        <v>6447.79</v>
      </c>
      <c r="I96" s="127">
        <v>6447.79</v>
      </c>
      <c r="J96" s="127">
        <f t="shared" si="2"/>
        <v>0</v>
      </c>
      <c r="K96" s="128">
        <f t="shared" si="3"/>
        <v>0</v>
      </c>
      <c r="L96" s="129">
        <v>0</v>
      </c>
      <c r="N96" s="110"/>
      <c r="O96" s="110"/>
      <c r="P96" s="110"/>
      <c r="Q96" s="110"/>
      <c r="R96" s="124"/>
    </row>
    <row r="97" spans="1:18" ht="12.75">
      <c r="A97" s="125" t="s">
        <v>186</v>
      </c>
      <c r="B97" s="126" t="s">
        <v>36</v>
      </c>
      <c r="C97" s="126"/>
      <c r="D97" s="159"/>
      <c r="E97" s="126"/>
      <c r="F97" s="126"/>
      <c r="G97" s="159"/>
      <c r="H97" s="127">
        <v>1176.6</v>
      </c>
      <c r="I97" s="127">
        <v>1176.6</v>
      </c>
      <c r="J97" s="127">
        <f t="shared" si="2"/>
        <v>0</v>
      </c>
      <c r="K97" s="128">
        <f t="shared" si="3"/>
        <v>0</v>
      </c>
      <c r="L97" s="129">
        <v>0</v>
      </c>
      <c r="N97" s="110"/>
      <c r="O97" s="110"/>
      <c r="P97" s="110"/>
      <c r="Q97" s="110"/>
      <c r="R97" s="124"/>
    </row>
    <row r="98" spans="1:18" ht="12.75">
      <c r="A98" s="125" t="s">
        <v>187</v>
      </c>
      <c r="B98" s="126" t="s">
        <v>36</v>
      </c>
      <c r="C98" s="126"/>
      <c r="D98" s="159"/>
      <c r="E98" s="126"/>
      <c r="F98" s="126"/>
      <c r="G98" s="159"/>
      <c r="H98" s="127">
        <v>17470.29</v>
      </c>
      <c r="I98" s="127">
        <v>17470.29</v>
      </c>
      <c r="J98" s="127">
        <f t="shared" si="2"/>
        <v>0</v>
      </c>
      <c r="K98" s="128">
        <f t="shared" si="3"/>
        <v>0</v>
      </c>
      <c r="L98" s="129">
        <v>0</v>
      </c>
      <c r="N98" s="110"/>
      <c r="O98" s="110"/>
      <c r="P98" s="110"/>
      <c r="Q98" s="110"/>
      <c r="R98" s="124"/>
    </row>
    <row r="99" spans="1:18" ht="12.75">
      <c r="A99" s="125" t="s">
        <v>188</v>
      </c>
      <c r="B99" s="126" t="s">
        <v>36</v>
      </c>
      <c r="C99" s="126"/>
      <c r="D99" s="159"/>
      <c r="E99" s="126"/>
      <c r="F99" s="126"/>
      <c r="G99" s="159"/>
      <c r="H99" s="127">
        <v>521.69</v>
      </c>
      <c r="I99" s="127">
        <v>521.69</v>
      </c>
      <c r="J99" s="127">
        <f t="shared" si="2"/>
        <v>0</v>
      </c>
      <c r="K99" s="128">
        <f t="shared" si="3"/>
        <v>0</v>
      </c>
      <c r="L99" s="129">
        <v>0</v>
      </c>
      <c r="N99" s="110"/>
      <c r="O99" s="110"/>
      <c r="P99" s="110"/>
      <c r="Q99" s="110"/>
      <c r="R99" s="124"/>
    </row>
    <row r="100" spans="1:18" ht="12.75">
      <c r="A100" s="125" t="s">
        <v>189</v>
      </c>
      <c r="B100" s="126" t="s">
        <v>36</v>
      </c>
      <c r="C100" s="126"/>
      <c r="D100" s="159"/>
      <c r="E100" s="126"/>
      <c r="F100" s="126"/>
      <c r="G100" s="159"/>
      <c r="H100" s="127">
        <v>1872.5</v>
      </c>
      <c r="I100" s="127">
        <v>1872.5</v>
      </c>
      <c r="J100" s="127">
        <f t="shared" si="2"/>
        <v>0</v>
      </c>
      <c r="K100" s="128">
        <f t="shared" si="3"/>
        <v>0</v>
      </c>
      <c r="L100" s="129">
        <v>0</v>
      </c>
      <c r="N100" s="110"/>
      <c r="O100" s="110"/>
      <c r="P100" s="110"/>
      <c r="Q100" s="110"/>
      <c r="R100" s="124"/>
    </row>
    <row r="101" spans="1:18" ht="12.75">
      <c r="A101" s="125" t="s">
        <v>190</v>
      </c>
      <c r="B101" s="126" t="s">
        <v>36</v>
      </c>
      <c r="C101" s="126"/>
      <c r="D101" s="159"/>
      <c r="E101" s="126"/>
      <c r="F101" s="126"/>
      <c r="G101" s="159"/>
      <c r="H101" s="127">
        <v>309.9</v>
      </c>
      <c r="I101" s="127">
        <v>309.9</v>
      </c>
      <c r="J101" s="127">
        <f t="shared" si="2"/>
        <v>0</v>
      </c>
      <c r="K101" s="128">
        <f t="shared" si="3"/>
        <v>0</v>
      </c>
      <c r="L101" s="129">
        <v>0</v>
      </c>
      <c r="N101" s="110"/>
      <c r="O101" s="110"/>
      <c r="P101" s="110"/>
      <c r="Q101" s="110"/>
      <c r="R101" s="124"/>
    </row>
    <row r="102" spans="1:18" ht="12.75">
      <c r="A102" s="125" t="s">
        <v>191</v>
      </c>
      <c r="B102" s="126" t="s">
        <v>36</v>
      </c>
      <c r="C102" s="126"/>
      <c r="D102" s="159"/>
      <c r="E102" s="126"/>
      <c r="F102" s="126"/>
      <c r="G102" s="159"/>
      <c r="H102" s="127">
        <v>968.86</v>
      </c>
      <c r="I102" s="127">
        <v>968.86</v>
      </c>
      <c r="J102" s="127">
        <f t="shared" si="2"/>
        <v>0</v>
      </c>
      <c r="K102" s="128">
        <f t="shared" si="3"/>
        <v>0</v>
      </c>
      <c r="L102" s="129">
        <v>0</v>
      </c>
      <c r="N102" s="110"/>
      <c r="O102" s="110"/>
      <c r="P102" s="110"/>
      <c r="Q102" s="110"/>
      <c r="R102" s="124"/>
    </row>
    <row r="103" spans="1:18" ht="12.75">
      <c r="A103" s="125" t="s">
        <v>192</v>
      </c>
      <c r="B103" s="126" t="s">
        <v>36</v>
      </c>
      <c r="C103" s="126"/>
      <c r="D103" s="159"/>
      <c r="E103" s="126"/>
      <c r="F103" s="126"/>
      <c r="G103" s="6"/>
      <c r="H103" s="127">
        <v>2343.4884</v>
      </c>
      <c r="I103" s="127">
        <v>2343.4884</v>
      </c>
      <c r="J103" s="127">
        <f t="shared" si="2"/>
        <v>0</v>
      </c>
      <c r="K103" s="128">
        <f t="shared" si="3"/>
        <v>0</v>
      </c>
      <c r="L103" s="129">
        <v>0</v>
      </c>
      <c r="N103" s="110"/>
      <c r="O103" s="110"/>
      <c r="P103" s="110"/>
      <c r="Q103" s="110"/>
      <c r="R103" s="110"/>
    </row>
    <row r="104" spans="1:18" ht="12.75">
      <c r="A104" s="125" t="s">
        <v>193</v>
      </c>
      <c r="B104" s="126" t="s">
        <v>36</v>
      </c>
      <c r="C104" s="126"/>
      <c r="D104" s="159"/>
      <c r="E104" s="126"/>
      <c r="F104" s="126"/>
      <c r="G104" s="6"/>
      <c r="H104" s="127">
        <v>21937.8462</v>
      </c>
      <c r="I104" s="127">
        <v>21937.8462</v>
      </c>
      <c r="J104" s="127">
        <f t="shared" si="2"/>
        <v>0</v>
      </c>
      <c r="K104" s="128">
        <f t="shared" si="3"/>
        <v>0</v>
      </c>
      <c r="L104" s="129">
        <v>0</v>
      </c>
      <c r="N104" s="142"/>
      <c r="O104" s="143"/>
      <c r="P104" s="143"/>
      <c r="Q104" s="144"/>
      <c r="R104" s="144"/>
    </row>
    <row r="105" spans="1:18" ht="12.75">
      <c r="A105" s="125" t="s">
        <v>194</v>
      </c>
      <c r="B105" s="126" t="s">
        <v>36</v>
      </c>
      <c r="C105" s="126"/>
      <c r="D105" s="159"/>
      <c r="E105" s="126"/>
      <c r="F105" s="126"/>
      <c r="G105" s="6"/>
      <c r="H105" s="127">
        <v>154.62900000000002</v>
      </c>
      <c r="I105" s="127">
        <v>154.62900000000002</v>
      </c>
      <c r="J105" s="127">
        <f t="shared" si="2"/>
        <v>0</v>
      </c>
      <c r="K105" s="128">
        <f t="shared" si="3"/>
        <v>0</v>
      </c>
      <c r="L105" s="129">
        <v>0</v>
      </c>
      <c r="N105" s="144"/>
      <c r="O105" s="143"/>
      <c r="P105" s="143"/>
      <c r="Q105" s="144"/>
      <c r="R105" s="144"/>
    </row>
    <row r="106" spans="1:20" ht="12.75">
      <c r="A106" s="125" t="s">
        <v>195</v>
      </c>
      <c r="B106" s="126" t="s">
        <v>36</v>
      </c>
      <c r="C106" s="126"/>
      <c r="D106" s="159"/>
      <c r="E106" s="126"/>
      <c r="F106" s="126"/>
      <c r="G106" s="6"/>
      <c r="H106" s="127">
        <v>167.2284</v>
      </c>
      <c r="I106" s="127">
        <v>167.2284</v>
      </c>
      <c r="J106" s="127">
        <f t="shared" si="2"/>
        <v>0</v>
      </c>
      <c r="K106" s="128">
        <f t="shared" si="3"/>
        <v>0</v>
      </c>
      <c r="L106" s="129">
        <v>0</v>
      </c>
      <c r="N106" s="110"/>
      <c r="O106" s="110"/>
      <c r="P106" s="110"/>
      <c r="Q106" s="146"/>
      <c r="R106" s="147"/>
      <c r="S106" s="107"/>
      <c r="T106" s="107"/>
    </row>
    <row r="107" spans="1:16" ht="12.75">
      <c r="A107" s="125" t="s">
        <v>196</v>
      </c>
      <c r="B107" s="126" t="s">
        <v>36</v>
      </c>
      <c r="C107" s="126"/>
      <c r="D107" s="159"/>
      <c r="E107" s="126"/>
      <c r="F107" s="126"/>
      <c r="G107" s="6"/>
      <c r="H107" s="127">
        <v>190.1364</v>
      </c>
      <c r="I107" s="127">
        <v>190.1364</v>
      </c>
      <c r="J107" s="127">
        <f t="shared" si="2"/>
        <v>0</v>
      </c>
      <c r="K107" s="128">
        <f t="shared" si="3"/>
        <v>0</v>
      </c>
      <c r="L107" s="129">
        <v>0</v>
      </c>
      <c r="M107" s="110"/>
      <c r="O107" s="148"/>
      <c r="P107" s="148"/>
    </row>
    <row r="108" spans="1:16" ht="12.75">
      <c r="A108" s="125" t="s">
        <v>197</v>
      </c>
      <c r="B108" s="126" t="s">
        <v>36</v>
      </c>
      <c r="C108" s="126"/>
      <c r="D108" s="159"/>
      <c r="E108" s="162"/>
      <c r="F108" s="126"/>
      <c r="G108" s="6"/>
      <c r="H108" s="127">
        <v>9331.5738</v>
      </c>
      <c r="I108" s="127">
        <v>9331.5738</v>
      </c>
      <c r="J108" s="127">
        <f t="shared" si="2"/>
        <v>0</v>
      </c>
      <c r="K108" s="128">
        <f t="shared" si="3"/>
        <v>0</v>
      </c>
      <c r="L108" s="129">
        <v>0</v>
      </c>
      <c r="M108" s="110"/>
      <c r="O108" s="148"/>
      <c r="P108" s="148"/>
    </row>
    <row r="109" spans="1:16" ht="12.75">
      <c r="A109" s="125" t="s">
        <v>198</v>
      </c>
      <c r="B109" s="126" t="s">
        <v>36</v>
      </c>
      <c r="C109" s="126"/>
      <c r="D109" s="159"/>
      <c r="E109" s="126"/>
      <c r="F109" s="126"/>
      <c r="G109" s="6"/>
      <c r="H109" s="127">
        <v>857.9046000000001</v>
      </c>
      <c r="I109" s="127">
        <v>857.9046000000001</v>
      </c>
      <c r="J109" s="127">
        <f t="shared" si="2"/>
        <v>0</v>
      </c>
      <c r="K109" s="128">
        <f t="shared" si="3"/>
        <v>0</v>
      </c>
      <c r="L109" s="129">
        <v>0</v>
      </c>
      <c r="M109" s="110"/>
      <c r="O109" s="148"/>
      <c r="P109" s="148"/>
    </row>
    <row r="110" spans="1:16" ht="12.75">
      <c r="A110" s="125" t="s">
        <v>199</v>
      </c>
      <c r="B110" s="126" t="s">
        <v>36</v>
      </c>
      <c r="C110" s="126"/>
      <c r="D110" s="159"/>
      <c r="E110" s="126"/>
      <c r="F110" s="126"/>
      <c r="G110" s="6"/>
      <c r="H110" s="127">
        <v>211.89900000000003</v>
      </c>
      <c r="I110" s="127">
        <v>211.89900000000003</v>
      </c>
      <c r="J110" s="127">
        <f t="shared" si="2"/>
        <v>0</v>
      </c>
      <c r="K110" s="128">
        <f t="shared" si="3"/>
        <v>0</v>
      </c>
      <c r="L110" s="129">
        <v>0</v>
      </c>
      <c r="M110" s="110"/>
      <c r="O110" s="148"/>
      <c r="P110" s="148"/>
    </row>
    <row r="111" spans="1:16" ht="12.75">
      <c r="A111" s="125" t="s">
        <v>200</v>
      </c>
      <c r="B111" s="126" t="s">
        <v>36</v>
      </c>
      <c r="C111" s="126"/>
      <c r="D111" s="159"/>
      <c r="E111" s="126"/>
      <c r="F111" s="126"/>
      <c r="G111" s="6"/>
      <c r="H111" s="127">
        <v>64.14240000000001</v>
      </c>
      <c r="I111" s="127">
        <v>64.14240000000001</v>
      </c>
      <c r="J111" s="127">
        <f t="shared" si="2"/>
        <v>0</v>
      </c>
      <c r="K111" s="128">
        <f t="shared" si="3"/>
        <v>0</v>
      </c>
      <c r="L111" s="129">
        <v>0</v>
      </c>
      <c r="M111" s="110"/>
      <c r="O111" s="148"/>
      <c r="P111" s="148"/>
    </row>
    <row r="112" spans="1:12" ht="12.75">
      <c r="A112" s="125" t="s">
        <v>201</v>
      </c>
      <c r="B112" s="126" t="s">
        <v>36</v>
      </c>
      <c r="C112" s="6"/>
      <c r="D112" s="6"/>
      <c r="E112" s="6"/>
      <c r="F112" s="6"/>
      <c r="G112" s="6"/>
      <c r="H112" s="127">
        <v>1941.453</v>
      </c>
      <c r="I112" s="127">
        <v>1941.453</v>
      </c>
      <c r="J112" s="127">
        <f t="shared" si="2"/>
        <v>0</v>
      </c>
      <c r="K112" s="128">
        <f t="shared" si="3"/>
        <v>0</v>
      </c>
      <c r="L112" s="129">
        <v>0</v>
      </c>
    </row>
    <row r="113" spans="1:12" ht="12.75">
      <c r="A113" s="125" t="s">
        <v>202</v>
      </c>
      <c r="B113" s="126" t="s">
        <v>36</v>
      </c>
      <c r="C113" s="6"/>
      <c r="D113" s="6"/>
      <c r="E113" s="6"/>
      <c r="F113" s="6"/>
      <c r="G113" s="6"/>
      <c r="H113" s="127">
        <v>10482.07</v>
      </c>
      <c r="I113" s="127">
        <v>10482.07</v>
      </c>
      <c r="J113" s="127">
        <f t="shared" si="2"/>
        <v>0</v>
      </c>
      <c r="K113" s="128">
        <f t="shared" si="3"/>
        <v>0</v>
      </c>
      <c r="L113" s="129">
        <v>0</v>
      </c>
    </row>
    <row r="114" spans="1:12" ht="12.75">
      <c r="A114" s="125" t="s">
        <v>203</v>
      </c>
      <c r="B114" s="126" t="s">
        <v>36</v>
      </c>
      <c r="C114" s="6"/>
      <c r="D114" s="6"/>
      <c r="E114" s="6"/>
      <c r="F114" s="6"/>
      <c r="G114" s="6"/>
      <c r="H114" s="127">
        <v>22431.48</v>
      </c>
      <c r="I114" s="127">
        <v>22431.48</v>
      </c>
      <c r="J114" s="127">
        <f t="shared" si="2"/>
        <v>0</v>
      </c>
      <c r="K114" s="128">
        <f t="shared" si="3"/>
        <v>0</v>
      </c>
      <c r="L114" s="129">
        <v>0</v>
      </c>
    </row>
    <row r="115" spans="1:12" ht="12.75">
      <c r="A115" s="125" t="s">
        <v>204</v>
      </c>
      <c r="B115" s="126" t="s">
        <v>36</v>
      </c>
      <c r="C115" s="6"/>
      <c r="D115" s="6"/>
      <c r="E115" s="6"/>
      <c r="F115" s="6"/>
      <c r="G115" s="6"/>
      <c r="H115" s="127">
        <v>5765.099999999999</v>
      </c>
      <c r="I115" s="127">
        <v>5765.099999999999</v>
      </c>
      <c r="J115" s="127">
        <f t="shared" si="2"/>
        <v>0</v>
      </c>
      <c r="K115" s="128">
        <f t="shared" si="3"/>
        <v>0</v>
      </c>
      <c r="L115" s="129">
        <v>0</v>
      </c>
    </row>
    <row r="116" spans="1:12" ht="12.75">
      <c r="A116" s="125" t="s">
        <v>205</v>
      </c>
      <c r="B116" s="126" t="s">
        <v>36</v>
      </c>
      <c r="C116" s="6"/>
      <c r="D116" s="6"/>
      <c r="E116" s="6"/>
      <c r="F116" s="6"/>
      <c r="G116" s="6"/>
      <c r="H116" s="127">
        <v>2020.64</v>
      </c>
      <c r="I116" s="127">
        <v>2020.64</v>
      </c>
      <c r="J116" s="127">
        <f t="shared" si="2"/>
        <v>0</v>
      </c>
      <c r="K116" s="128">
        <f t="shared" si="3"/>
        <v>0</v>
      </c>
      <c r="L116" s="129">
        <v>0</v>
      </c>
    </row>
    <row r="117" spans="1:12" ht="12.75">
      <c r="A117" s="125" t="s">
        <v>206</v>
      </c>
      <c r="B117" s="126" t="s">
        <v>36</v>
      </c>
      <c r="C117" s="6"/>
      <c r="D117" s="6"/>
      <c r="E117" s="6"/>
      <c r="F117" s="6"/>
      <c r="G117" s="6"/>
      <c r="H117" s="127">
        <v>12123.84</v>
      </c>
      <c r="I117" s="127">
        <v>12123.84</v>
      </c>
      <c r="J117" s="127">
        <f t="shared" si="2"/>
        <v>0</v>
      </c>
      <c r="K117" s="128">
        <f t="shared" si="3"/>
        <v>0</v>
      </c>
      <c r="L117" s="129">
        <v>0</v>
      </c>
    </row>
    <row r="118" spans="1:12" ht="12.75">
      <c r="A118" s="125" t="s">
        <v>207</v>
      </c>
      <c r="B118" s="126" t="s">
        <v>36</v>
      </c>
      <c r="C118" s="6"/>
      <c r="D118" s="6"/>
      <c r="E118" s="6"/>
      <c r="F118" s="6"/>
      <c r="G118" s="6"/>
      <c r="H118" s="127">
        <v>5765.099999999999</v>
      </c>
      <c r="I118" s="127">
        <v>5765.099999999999</v>
      </c>
      <c r="J118" s="127">
        <f t="shared" si="2"/>
        <v>0</v>
      </c>
      <c r="K118" s="128">
        <f t="shared" si="3"/>
        <v>0</v>
      </c>
      <c r="L118" s="129">
        <v>0</v>
      </c>
    </row>
    <row r="119" spans="1:12" ht="13.5" thickBot="1">
      <c r="A119" s="130" t="s">
        <v>208</v>
      </c>
      <c r="B119" s="131" t="s">
        <v>36</v>
      </c>
      <c r="C119" s="163"/>
      <c r="D119" s="163"/>
      <c r="E119" s="163"/>
      <c r="F119" s="163"/>
      <c r="G119" s="163"/>
      <c r="H119" s="132">
        <v>12502.71</v>
      </c>
      <c r="I119" s="132">
        <v>12502.71</v>
      </c>
      <c r="J119" s="132">
        <f t="shared" si="2"/>
        <v>0</v>
      </c>
      <c r="K119" s="133">
        <f t="shared" si="3"/>
        <v>0</v>
      </c>
      <c r="L119" s="166">
        <v>0</v>
      </c>
    </row>
    <row r="120" spans="7:11" ht="12.75">
      <c r="G120" s="138" t="s">
        <v>93</v>
      </c>
      <c r="H120" s="139">
        <f>SUM(H8:H119)</f>
        <v>917204.4217999994</v>
      </c>
      <c r="I120" s="139">
        <f>SUM(I8:I119)</f>
        <v>916742.9917999997</v>
      </c>
      <c r="J120" s="139">
        <f>SUM(J8:J119)</f>
        <v>461.43000000000154</v>
      </c>
      <c r="K120" s="140"/>
    </row>
    <row r="121" spans="7:11" ht="12.75">
      <c r="G121" s="138" t="s">
        <v>285</v>
      </c>
      <c r="H121" s="139"/>
      <c r="I121" s="139"/>
      <c r="J121" s="139">
        <f>J120-J52-J25</f>
        <v>526.9900000000009</v>
      </c>
      <c r="K121" s="124"/>
    </row>
    <row r="122" spans="6:11" ht="12.75">
      <c r="F122" s="13"/>
      <c r="G122" s="138" t="s">
        <v>209</v>
      </c>
      <c r="H122" s="110"/>
      <c r="I122" s="110"/>
      <c r="J122" s="167">
        <f>J121/H120</f>
        <v>0.0005745611201544267</v>
      </c>
      <c r="K122" s="124"/>
    </row>
    <row r="123" spans="7:11" ht="12.75">
      <c r="G123" s="137"/>
      <c r="H123" s="110"/>
      <c r="I123" s="110"/>
      <c r="J123" s="110"/>
      <c r="K123" s="110"/>
    </row>
    <row r="124" spans="8:11" ht="12.75">
      <c r="H124" s="150"/>
      <c r="J124" s="110"/>
      <c r="K124" s="110"/>
    </row>
    <row r="125" spans="8:11" ht="12.75">
      <c r="H125" s="150"/>
      <c r="J125" s="110"/>
      <c r="K125" s="110"/>
    </row>
    <row r="126" spans="1:2" ht="12.75">
      <c r="A126" s="229" t="s">
        <v>291</v>
      </c>
      <c r="B126" s="230"/>
    </row>
    <row r="128" spans="1:3" ht="12.75">
      <c r="A128" s="231" t="s">
        <v>95</v>
      </c>
      <c r="B128" s="232"/>
      <c r="C128" s="209">
        <v>415205530.29</v>
      </c>
    </row>
    <row r="129" spans="1:3" ht="12.75">
      <c r="A129" s="233" t="s">
        <v>96</v>
      </c>
      <c r="B129" s="234"/>
      <c r="C129" s="210">
        <v>609302</v>
      </c>
    </row>
    <row r="130" spans="1:3" ht="12.75">
      <c r="A130" s="231" t="s">
        <v>286</v>
      </c>
      <c r="B130" s="232"/>
      <c r="C130" s="209">
        <f>0.02*C128</f>
        <v>8304110.605800001</v>
      </c>
    </row>
    <row r="131" spans="1:3" ht="12.75">
      <c r="A131" s="231" t="s">
        <v>287</v>
      </c>
      <c r="B131" s="232"/>
      <c r="C131" s="211">
        <f>C128/112</f>
        <v>3707192.234732143</v>
      </c>
    </row>
    <row r="132" spans="1:8" ht="12.75">
      <c r="A132" s="231" t="s">
        <v>16</v>
      </c>
      <c r="B132" s="232"/>
      <c r="C132" s="211">
        <v>251416</v>
      </c>
      <c r="H132" s="205"/>
    </row>
    <row r="133" spans="1:8" ht="12.75">
      <c r="A133" s="231" t="s">
        <v>284</v>
      </c>
      <c r="B133" s="232"/>
      <c r="C133" s="212">
        <v>8926709.95</v>
      </c>
      <c r="H133" s="205"/>
    </row>
    <row r="134" spans="1:8" ht="12.75">
      <c r="A134" s="231" t="s">
        <v>292</v>
      </c>
      <c r="B134" s="232"/>
      <c r="C134" s="208">
        <f>C133-C132</f>
        <v>8675293.95</v>
      </c>
      <c r="H134" s="206"/>
    </row>
    <row r="135" spans="1:9" ht="12.75">
      <c r="A135" s="214"/>
      <c r="B135" s="214"/>
      <c r="C135" s="214"/>
      <c r="H135"/>
      <c r="I135"/>
    </row>
    <row r="136" spans="1:9" ht="39" customHeight="1">
      <c r="A136" s="235" t="s">
        <v>288</v>
      </c>
      <c r="B136" s="236"/>
      <c r="C136" s="215">
        <v>121</v>
      </c>
      <c r="H136"/>
      <c r="I136"/>
    </row>
    <row r="137" spans="1:9" ht="12.75">
      <c r="A137" s="237" t="s">
        <v>290</v>
      </c>
      <c r="B137" s="238"/>
      <c r="C137" s="216">
        <f>C136-112</f>
        <v>9</v>
      </c>
      <c r="H137"/>
      <c r="I137"/>
    </row>
    <row r="138" spans="1:9" ht="12.75">
      <c r="A138" s="231" t="s">
        <v>289</v>
      </c>
      <c r="B138" s="232"/>
      <c r="C138" s="211">
        <f>C128/C136</f>
        <v>3431450.6635537194</v>
      </c>
      <c r="H138"/>
      <c r="I138"/>
    </row>
    <row r="139" spans="1:9" ht="12.75">
      <c r="A139" s="231" t="s">
        <v>16</v>
      </c>
      <c r="B139" s="232"/>
      <c r="C139" s="14">
        <v>232715.58</v>
      </c>
      <c r="H139"/>
      <c r="I139"/>
    </row>
    <row r="140" spans="1:9" ht="12.75">
      <c r="A140" s="231" t="s">
        <v>284</v>
      </c>
      <c r="B140" s="232"/>
      <c r="C140" s="14">
        <v>8262738.73</v>
      </c>
      <c r="H140"/>
      <c r="I140"/>
    </row>
    <row r="141" spans="1:9" ht="12.75">
      <c r="A141" s="231" t="s">
        <v>292</v>
      </c>
      <c r="B141" s="232"/>
      <c r="C141" s="208">
        <f>C140-C139</f>
        <v>8030023.15</v>
      </c>
      <c r="H141"/>
      <c r="I141"/>
    </row>
  </sheetData>
  <sheetProtection/>
  <autoFilter ref="A7:T7"/>
  <mergeCells count="18">
    <mergeCell ref="A136:B136"/>
    <mergeCell ref="A137:B137"/>
    <mergeCell ref="A138:B138"/>
    <mergeCell ref="A139:B139"/>
    <mergeCell ref="A140:B140"/>
    <mergeCell ref="A141:B141"/>
    <mergeCell ref="A129:B129"/>
    <mergeCell ref="A130:B130"/>
    <mergeCell ref="A131:B131"/>
    <mergeCell ref="A132:B132"/>
    <mergeCell ref="A133:B133"/>
    <mergeCell ref="A134:B134"/>
    <mergeCell ref="A2:M2"/>
    <mergeCell ref="A3:M3"/>
    <mergeCell ref="B5:G5"/>
    <mergeCell ref="H5:L5"/>
    <mergeCell ref="A126:B126"/>
    <mergeCell ref="A128:B128"/>
  </mergeCells>
  <conditionalFormatting sqref="N8:R102 H8:L8 H29:I101 J9:L9 J10:K119 L10:L118 H120:K122">
    <cfRule type="expression" priority="5" dxfId="0" stopIfTrue="1">
      <formula>$K8="No"</formula>
    </cfRule>
  </conditionalFormatting>
  <conditionalFormatting sqref="M107:M111">
    <cfRule type="expression" priority="7" dxfId="0" stopIfTrue="1">
      <formula>$L107="No"</formula>
    </cfRule>
  </conditionalFormatting>
  <conditionalFormatting sqref="G8:G24">
    <cfRule type="cellIs" priority="6" dxfId="2" operator="equal" stopIfTrue="1">
      <formula>"ERR"</formula>
    </cfRule>
  </conditionalFormatting>
  <conditionalFormatting sqref="F8:F24">
    <cfRule type="cellIs" priority="5" dxfId="2" operator="equal" stopIfTrue="1">
      <formula>"ERR"</formula>
    </cfRule>
  </conditionalFormatting>
  <conditionalFormatting sqref="M5">
    <cfRule type="expression" priority="4" dxfId="0" stopIfTrue="1">
      <formula>$K5="No"</formula>
    </cfRule>
  </conditionalFormatting>
  <conditionalFormatting sqref="N103:R103">
    <cfRule type="expression" priority="10" dxfId="0" stopIfTrue="1">
      <formula>$K120="No"</formula>
    </cfRule>
  </conditionalFormatting>
  <conditionalFormatting sqref="H123:K123">
    <cfRule type="expression" priority="15" dxfId="0" stopIfTrue="1">
      <formula>$L107="No"</formula>
    </cfRule>
  </conditionalFormatting>
  <conditionalFormatting sqref="H102:I119">
    <cfRule type="expression" priority="1" dxfId="0" stopIfTrue="1">
      <formula>$K102="No"</formula>
    </cfRule>
  </conditionalFormatting>
  <conditionalFormatting sqref="N106:R106">
    <cfRule type="expression" priority="1" dxfId="0" stopIfTrue="1">
      <formula>'A. MUS - conservative_IACS'!#REF!="No"</formula>
    </cfRule>
  </conditionalFormatting>
  <conditionalFormatting sqref="J124:K125">
    <cfRule type="expression" priority="2" dxfId="0" stopIfTrue="1">
      <formula>$L110="No"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0" r:id="rId5"/>
  <drawing r:id="rId4"/>
  <legacyDrawing r:id="rId3"/>
  <oleObjects>
    <oleObject progId="Equation.3" shapeId="1745908" r:id="rId1"/>
    <oleObject progId="Equation.3" shapeId="174590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6"/>
  <sheetViews>
    <sheetView tabSelected="1" zoomScalePageLayoutView="0" workbookViewId="0" topLeftCell="A28">
      <selection activeCell="H60" sqref="H60"/>
    </sheetView>
  </sheetViews>
  <sheetFormatPr defaultColWidth="9.140625" defaultRowHeight="12.75"/>
  <cols>
    <col min="1" max="1" width="16.8515625" style="0" customWidth="1"/>
    <col min="2" max="2" width="21.421875" style="0" customWidth="1"/>
    <col min="3" max="4" width="16.57421875" style="0" bestFit="1" customWidth="1"/>
    <col min="7" max="7" width="11.57421875" style="0" customWidth="1"/>
    <col min="8" max="8" width="14.28125" style="0" customWidth="1"/>
    <col min="9" max="9" width="16.57421875" style="0" bestFit="1" customWidth="1"/>
  </cols>
  <sheetData>
    <row r="2" spans="1:13" ht="20.25">
      <c r="A2" s="222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7" ht="13.5" thickBot="1">
      <c r="A4" s="107"/>
      <c r="D4" s="108"/>
      <c r="G4" s="108"/>
    </row>
    <row r="5" spans="1:18" s="107" customFormat="1" ht="15.75" customHeight="1" thickBot="1">
      <c r="A5" s="109"/>
      <c r="B5" s="223" t="s">
        <v>31</v>
      </c>
      <c r="C5" s="224"/>
      <c r="D5" s="224"/>
      <c r="E5" s="224"/>
      <c r="F5" s="224"/>
      <c r="G5" s="225"/>
      <c r="H5" s="239" t="s">
        <v>32</v>
      </c>
      <c r="I5" s="240"/>
      <c r="J5" s="240"/>
      <c r="K5" s="240"/>
      <c r="L5" s="241"/>
      <c r="M5" s="110"/>
      <c r="N5" s="3"/>
      <c r="O5" s="3"/>
      <c r="P5" s="3"/>
      <c r="Q5" s="3"/>
      <c r="R5" s="3"/>
    </row>
    <row r="6" spans="1:18" s="107" customFormat="1" ht="12.75">
      <c r="A6" s="111" t="s">
        <v>33</v>
      </c>
      <c r="B6" s="113"/>
      <c r="C6" s="109" t="s">
        <v>34</v>
      </c>
      <c r="D6" s="109" t="s">
        <v>35</v>
      </c>
      <c r="E6" s="109" t="s">
        <v>36</v>
      </c>
      <c r="F6" s="109" t="s">
        <v>37</v>
      </c>
      <c r="G6" s="109" t="s">
        <v>38</v>
      </c>
      <c r="H6" s="114" t="s">
        <v>39</v>
      </c>
      <c r="I6" s="109" t="s">
        <v>40</v>
      </c>
      <c r="J6" s="109" t="s">
        <v>41</v>
      </c>
      <c r="K6" s="109" t="s">
        <v>42</v>
      </c>
      <c r="L6" s="109" t="s">
        <v>37</v>
      </c>
      <c r="N6" s="115"/>
      <c r="O6" s="116"/>
      <c r="P6" s="115"/>
      <c r="Q6" s="115"/>
      <c r="R6" s="115"/>
    </row>
    <row r="7" spans="1:18" s="107" customFormat="1" ht="13.5" thickBot="1">
      <c r="A7" s="111" t="s">
        <v>43</v>
      </c>
      <c r="B7" s="112" t="s">
        <v>44</v>
      </c>
      <c r="C7" s="111" t="s">
        <v>45</v>
      </c>
      <c r="D7" s="111" t="s">
        <v>45</v>
      </c>
      <c r="E7" s="111" t="s">
        <v>46</v>
      </c>
      <c r="F7" s="111" t="s">
        <v>45</v>
      </c>
      <c r="G7" s="111" t="s">
        <v>47</v>
      </c>
      <c r="H7" s="153" t="s">
        <v>48</v>
      </c>
      <c r="I7" s="154" t="s">
        <v>48</v>
      </c>
      <c r="J7" s="154" t="s">
        <v>49</v>
      </c>
      <c r="K7" s="154" t="s">
        <v>41</v>
      </c>
      <c r="L7" s="154" t="s">
        <v>41</v>
      </c>
      <c r="N7" s="115"/>
      <c r="O7" s="116"/>
      <c r="P7" s="115"/>
      <c r="Q7" s="115"/>
      <c r="R7" s="115"/>
    </row>
    <row r="8" spans="1:18" s="107" customFormat="1" ht="12.75">
      <c r="A8" s="118" t="s">
        <v>50</v>
      </c>
      <c r="B8" s="119" t="s">
        <v>51</v>
      </c>
      <c r="C8" s="119"/>
      <c r="D8" s="119">
        <v>1</v>
      </c>
      <c r="E8" s="119"/>
      <c r="F8" s="120"/>
      <c r="G8" s="120">
        <v>1</v>
      </c>
      <c r="H8" s="121">
        <v>55999.34</v>
      </c>
      <c r="I8" s="121">
        <v>55897.0938</v>
      </c>
      <c r="J8" s="121">
        <v>102.24619999999413</v>
      </c>
      <c r="K8" s="122">
        <f>J8/H8</f>
        <v>0.0018258465189052967</v>
      </c>
      <c r="L8" s="123">
        <v>0</v>
      </c>
      <c r="N8" s="110"/>
      <c r="O8" s="110"/>
      <c r="P8" s="110"/>
      <c r="Q8" s="110"/>
      <c r="R8" s="124"/>
    </row>
    <row r="9" spans="1:18" s="107" customFormat="1" ht="12.75">
      <c r="A9" s="125" t="s">
        <v>52</v>
      </c>
      <c r="B9" s="126" t="s">
        <v>36</v>
      </c>
      <c r="C9" s="126"/>
      <c r="D9" s="126"/>
      <c r="E9" s="126"/>
      <c r="F9" s="126"/>
      <c r="G9" s="126"/>
      <c r="H9" s="127">
        <v>7303.5</v>
      </c>
      <c r="I9" s="127">
        <v>7303.5</v>
      </c>
      <c r="J9" s="127">
        <v>0</v>
      </c>
      <c r="K9" s="128">
        <f aca="true" t="shared" si="0" ref="K9:K49">J9/H9</f>
        <v>0</v>
      </c>
      <c r="L9" s="129">
        <v>0</v>
      </c>
      <c r="N9" s="110"/>
      <c r="O9" s="110"/>
      <c r="P9" s="110"/>
      <c r="Q9" s="110"/>
      <c r="R9" s="124"/>
    </row>
    <row r="10" spans="1:18" s="107" customFormat="1" ht="12.75">
      <c r="A10" s="125" t="s">
        <v>53</v>
      </c>
      <c r="B10" s="126" t="s">
        <v>36</v>
      </c>
      <c r="C10" s="126"/>
      <c r="D10" s="126"/>
      <c r="E10" s="126"/>
      <c r="F10" s="126"/>
      <c r="G10" s="126"/>
      <c r="H10" s="127">
        <v>5842.8</v>
      </c>
      <c r="I10" s="127">
        <v>5842.8</v>
      </c>
      <c r="J10" s="127">
        <v>0</v>
      </c>
      <c r="K10" s="128">
        <f t="shared" si="0"/>
        <v>0</v>
      </c>
      <c r="L10" s="129">
        <v>0</v>
      </c>
      <c r="N10" s="110"/>
      <c r="O10" s="110"/>
      <c r="P10" s="110"/>
      <c r="Q10" s="110"/>
      <c r="R10" s="124"/>
    </row>
    <row r="11" spans="1:18" s="107" customFormat="1" ht="12.75">
      <c r="A11" s="125" t="s">
        <v>54</v>
      </c>
      <c r="B11" s="126" t="s">
        <v>36</v>
      </c>
      <c r="C11" s="126"/>
      <c r="D11" s="126"/>
      <c r="E11" s="126"/>
      <c r="F11" s="126"/>
      <c r="G11" s="126"/>
      <c r="H11" s="127">
        <v>109.07</v>
      </c>
      <c r="I11" s="127">
        <v>109.07</v>
      </c>
      <c r="J11" s="127">
        <v>0</v>
      </c>
      <c r="K11" s="128">
        <f t="shared" si="0"/>
        <v>0</v>
      </c>
      <c r="L11" s="129">
        <v>0</v>
      </c>
      <c r="N11" s="110"/>
      <c r="O11" s="110"/>
      <c r="P11" s="110"/>
      <c r="Q11" s="110"/>
      <c r="R11" s="124"/>
    </row>
    <row r="12" spans="1:18" s="107" customFormat="1" ht="12.75">
      <c r="A12" s="125" t="s">
        <v>55</v>
      </c>
      <c r="B12" s="126" t="s">
        <v>36</v>
      </c>
      <c r="C12" s="126"/>
      <c r="D12" s="126"/>
      <c r="E12" s="126"/>
      <c r="F12" s="126"/>
      <c r="G12" s="126"/>
      <c r="H12" s="127">
        <v>49433.97</v>
      </c>
      <c r="I12" s="127">
        <v>49433.97</v>
      </c>
      <c r="J12" s="127">
        <v>0</v>
      </c>
      <c r="K12" s="128">
        <f t="shared" si="0"/>
        <v>0</v>
      </c>
      <c r="L12" s="129">
        <v>0</v>
      </c>
      <c r="N12" s="110"/>
      <c r="O12" s="110"/>
      <c r="P12" s="110"/>
      <c r="Q12" s="110"/>
      <c r="R12" s="124"/>
    </row>
    <row r="13" spans="1:18" s="107" customFormat="1" ht="12.75">
      <c r="A13" s="125" t="s">
        <v>56</v>
      </c>
      <c r="B13" s="126" t="s">
        <v>36</v>
      </c>
      <c r="C13" s="126"/>
      <c r="D13" s="126"/>
      <c r="E13" s="126"/>
      <c r="F13" s="126"/>
      <c r="G13" s="126"/>
      <c r="H13" s="127">
        <v>6816.6</v>
      </c>
      <c r="I13" s="127">
        <v>6816.6</v>
      </c>
      <c r="J13" s="127">
        <v>0</v>
      </c>
      <c r="K13" s="128">
        <f t="shared" si="0"/>
        <v>0</v>
      </c>
      <c r="L13" s="129">
        <v>0</v>
      </c>
      <c r="N13" s="110"/>
      <c r="O13" s="110"/>
      <c r="P13" s="110"/>
      <c r="Q13" s="110"/>
      <c r="R13" s="124"/>
    </row>
    <row r="14" spans="1:18" s="107" customFormat="1" ht="12.75">
      <c r="A14" s="125" t="s">
        <v>57</v>
      </c>
      <c r="B14" s="126" t="s">
        <v>51</v>
      </c>
      <c r="C14" s="126">
        <v>1</v>
      </c>
      <c r="D14" s="126"/>
      <c r="E14" s="126"/>
      <c r="F14" s="126"/>
      <c r="G14" s="126">
        <v>1</v>
      </c>
      <c r="H14" s="127">
        <v>5187.75</v>
      </c>
      <c r="I14" s="127">
        <v>5187.75</v>
      </c>
      <c r="J14" s="127">
        <v>0</v>
      </c>
      <c r="K14" s="128">
        <f t="shared" si="0"/>
        <v>0</v>
      </c>
      <c r="L14" s="129">
        <v>0</v>
      </c>
      <c r="N14" s="110"/>
      <c r="O14" s="110"/>
      <c r="P14" s="110"/>
      <c r="Q14" s="110"/>
      <c r="R14" s="124"/>
    </row>
    <row r="15" spans="1:18" s="107" customFormat="1" ht="12.75">
      <c r="A15" s="125" t="s">
        <v>58</v>
      </c>
      <c r="B15" s="126" t="s">
        <v>36</v>
      </c>
      <c r="C15" s="126"/>
      <c r="D15" s="126"/>
      <c r="E15" s="126"/>
      <c r="F15" s="126"/>
      <c r="G15" s="126"/>
      <c r="H15" s="127">
        <v>144130.84</v>
      </c>
      <c r="I15" s="127">
        <v>144130.84</v>
      </c>
      <c r="J15" s="127">
        <v>0</v>
      </c>
      <c r="K15" s="128">
        <f t="shared" si="0"/>
        <v>0</v>
      </c>
      <c r="L15" s="129">
        <v>0</v>
      </c>
      <c r="N15" s="110"/>
      <c r="O15" s="110"/>
      <c r="P15" s="110"/>
      <c r="Q15" s="110"/>
      <c r="R15" s="124"/>
    </row>
    <row r="16" spans="1:18" s="107" customFormat="1" ht="12.75">
      <c r="A16" s="125" t="s">
        <v>59</v>
      </c>
      <c r="B16" s="126" t="s">
        <v>36</v>
      </c>
      <c r="C16" s="126"/>
      <c r="D16" s="126"/>
      <c r="E16" s="126"/>
      <c r="F16" s="126"/>
      <c r="G16" s="126"/>
      <c r="H16" s="127">
        <v>12056.13</v>
      </c>
      <c r="I16" s="127">
        <v>12056.13</v>
      </c>
      <c r="J16" s="127">
        <v>0</v>
      </c>
      <c r="K16" s="128">
        <f t="shared" si="0"/>
        <v>0</v>
      </c>
      <c r="L16" s="129">
        <v>0</v>
      </c>
      <c r="N16" s="110"/>
      <c r="O16" s="110"/>
      <c r="P16" s="110"/>
      <c r="Q16" s="110"/>
      <c r="R16" s="124"/>
    </row>
    <row r="17" spans="1:18" s="107" customFormat="1" ht="12.75">
      <c r="A17" s="125" t="s">
        <v>60</v>
      </c>
      <c r="B17" s="126" t="s">
        <v>51</v>
      </c>
      <c r="C17" s="126"/>
      <c r="D17" s="126">
        <v>1</v>
      </c>
      <c r="E17" s="126"/>
      <c r="F17" s="126"/>
      <c r="G17" s="126">
        <v>1</v>
      </c>
      <c r="H17" s="127">
        <v>28321.02</v>
      </c>
      <c r="I17" s="127">
        <v>28293.2721</v>
      </c>
      <c r="J17" s="127">
        <v>27.74790000000212</v>
      </c>
      <c r="K17" s="128">
        <f t="shared" si="0"/>
        <v>0.000979763440723608</v>
      </c>
      <c r="L17" s="129">
        <v>0</v>
      </c>
      <c r="N17" s="110"/>
      <c r="O17" s="110"/>
      <c r="P17" s="110"/>
      <c r="Q17" s="110"/>
      <c r="R17" s="124"/>
    </row>
    <row r="18" spans="1:18" s="107" customFormat="1" ht="12.75">
      <c r="A18" s="125" t="s">
        <v>61</v>
      </c>
      <c r="B18" s="126" t="s">
        <v>36</v>
      </c>
      <c r="C18" s="126"/>
      <c r="D18" s="126"/>
      <c r="E18" s="126"/>
      <c r="F18" s="126"/>
      <c r="G18" s="126"/>
      <c r="H18" s="127">
        <v>2677.46</v>
      </c>
      <c r="I18" s="127">
        <v>2677.46</v>
      </c>
      <c r="J18" s="127">
        <v>0</v>
      </c>
      <c r="K18" s="128">
        <f t="shared" si="0"/>
        <v>0</v>
      </c>
      <c r="L18" s="129">
        <v>0</v>
      </c>
      <c r="N18" s="110"/>
      <c r="O18" s="110"/>
      <c r="P18" s="110"/>
      <c r="Q18" s="110"/>
      <c r="R18" s="124"/>
    </row>
    <row r="19" spans="1:18" s="107" customFormat="1" ht="12.75">
      <c r="A19" s="125" t="s">
        <v>62</v>
      </c>
      <c r="B19" s="126" t="s">
        <v>36</v>
      </c>
      <c r="C19" s="126"/>
      <c r="D19" s="126"/>
      <c r="E19" s="126"/>
      <c r="F19" s="126"/>
      <c r="G19" s="126"/>
      <c r="H19" s="127">
        <v>16798.04</v>
      </c>
      <c r="I19" s="127">
        <v>16798.04</v>
      </c>
      <c r="J19" s="127">
        <v>0</v>
      </c>
      <c r="K19" s="128">
        <f t="shared" si="0"/>
        <v>0</v>
      </c>
      <c r="L19" s="129">
        <v>0</v>
      </c>
      <c r="N19" s="110"/>
      <c r="O19" s="110"/>
      <c r="P19" s="110"/>
      <c r="Q19" s="110"/>
      <c r="R19" s="124"/>
    </row>
    <row r="20" spans="1:18" s="107" customFormat="1" ht="12.75">
      <c r="A20" s="125" t="s">
        <v>63</v>
      </c>
      <c r="B20" s="126" t="s">
        <v>36</v>
      </c>
      <c r="C20" s="126"/>
      <c r="D20" s="126"/>
      <c r="E20" s="126"/>
      <c r="F20" s="126"/>
      <c r="G20" s="126"/>
      <c r="H20" s="127">
        <v>4869</v>
      </c>
      <c r="I20" s="127">
        <v>4869</v>
      </c>
      <c r="J20" s="127">
        <v>0</v>
      </c>
      <c r="K20" s="128">
        <f t="shared" si="0"/>
        <v>0</v>
      </c>
      <c r="L20" s="129">
        <v>0</v>
      </c>
      <c r="N20" s="110"/>
      <c r="O20" s="110"/>
      <c r="P20" s="110"/>
      <c r="Q20" s="110"/>
      <c r="R20" s="124"/>
    </row>
    <row r="21" spans="1:18" s="107" customFormat="1" ht="12.75">
      <c r="A21" s="125" t="s">
        <v>64</v>
      </c>
      <c r="B21" s="126" t="s">
        <v>51</v>
      </c>
      <c r="C21" s="126"/>
      <c r="D21" s="126">
        <v>1</v>
      </c>
      <c r="E21" s="126"/>
      <c r="F21" s="126"/>
      <c r="G21" s="126">
        <v>1</v>
      </c>
      <c r="H21" s="127">
        <v>266940.98</v>
      </c>
      <c r="I21" s="127">
        <v>266854.3092</v>
      </c>
      <c r="J21" s="127">
        <v>86.67079999996349</v>
      </c>
      <c r="K21" s="128">
        <f t="shared" si="0"/>
        <v>0.0003246815082493647</v>
      </c>
      <c r="L21" s="129">
        <v>0</v>
      </c>
      <c r="N21" s="110"/>
      <c r="O21" s="110"/>
      <c r="P21" s="110"/>
      <c r="Q21" s="110"/>
      <c r="R21" s="124"/>
    </row>
    <row r="22" spans="1:18" s="107" customFormat="1" ht="12.75">
      <c r="A22" s="125" t="s">
        <v>65</v>
      </c>
      <c r="B22" s="126" t="s">
        <v>36</v>
      </c>
      <c r="C22" s="126"/>
      <c r="D22" s="126"/>
      <c r="E22" s="126"/>
      <c r="F22" s="126"/>
      <c r="G22" s="126"/>
      <c r="H22" s="127">
        <v>2805.52</v>
      </c>
      <c r="I22" s="127">
        <v>2805.5178</v>
      </c>
      <c r="J22" s="127">
        <v>0.002199999999902502</v>
      </c>
      <c r="K22" s="128">
        <f t="shared" si="0"/>
        <v>7.841683537820091E-07</v>
      </c>
      <c r="L22" s="129">
        <v>0</v>
      </c>
      <c r="N22" s="110"/>
      <c r="O22" s="110"/>
      <c r="P22" s="110"/>
      <c r="Q22" s="110"/>
      <c r="R22" s="124"/>
    </row>
    <row r="23" spans="1:18" s="107" customFormat="1" ht="12.75">
      <c r="A23" s="125" t="s">
        <v>66</v>
      </c>
      <c r="B23" s="126" t="s">
        <v>36</v>
      </c>
      <c r="C23" s="126"/>
      <c r="D23" s="126"/>
      <c r="E23" s="126"/>
      <c r="F23" s="126"/>
      <c r="G23" s="126"/>
      <c r="H23" s="127">
        <v>511.25</v>
      </c>
      <c r="I23" s="127">
        <v>511.245</v>
      </c>
      <c r="J23" s="127">
        <v>0.0049999999999954525</v>
      </c>
      <c r="K23" s="128">
        <f t="shared" si="0"/>
        <v>9.779951100235604E-06</v>
      </c>
      <c r="L23" s="129">
        <v>0</v>
      </c>
      <c r="N23" s="110"/>
      <c r="O23" s="110"/>
      <c r="P23" s="110"/>
      <c r="Q23" s="110"/>
      <c r="R23" s="124"/>
    </row>
    <row r="24" spans="1:18" s="107" customFormat="1" ht="12.75">
      <c r="A24" s="125" t="s">
        <v>67</v>
      </c>
      <c r="B24" s="126" t="s">
        <v>36</v>
      </c>
      <c r="C24" s="126"/>
      <c r="D24" s="126"/>
      <c r="E24" s="126"/>
      <c r="F24" s="126"/>
      <c r="G24" s="126"/>
      <c r="H24" s="127">
        <v>46450.26</v>
      </c>
      <c r="I24" s="127">
        <v>46450.26</v>
      </c>
      <c r="J24" s="127">
        <v>0</v>
      </c>
      <c r="K24" s="128">
        <f t="shared" si="0"/>
        <v>0</v>
      </c>
      <c r="L24" s="129">
        <v>0</v>
      </c>
      <c r="N24" s="110"/>
      <c r="O24" s="110"/>
      <c r="P24" s="110"/>
      <c r="Q24" s="110"/>
      <c r="R24" s="124"/>
    </row>
    <row r="25" spans="1:18" s="107" customFormat="1" ht="12.75">
      <c r="A25" s="125" t="s">
        <v>68</v>
      </c>
      <c r="B25" s="126" t="s">
        <v>51</v>
      </c>
      <c r="C25" s="126"/>
      <c r="D25" s="126">
        <v>1</v>
      </c>
      <c r="E25" s="126"/>
      <c r="F25" s="126"/>
      <c r="G25" s="126">
        <v>1</v>
      </c>
      <c r="H25" s="127">
        <v>27071.15</v>
      </c>
      <c r="I25" s="127">
        <v>26666.05</v>
      </c>
      <c r="J25" s="127">
        <v>405.1000000000022</v>
      </c>
      <c r="K25" s="128">
        <f t="shared" si="0"/>
        <v>0.014964270080879541</v>
      </c>
      <c r="L25" s="129">
        <v>0</v>
      </c>
      <c r="N25" s="110"/>
      <c r="O25" s="110"/>
      <c r="P25" s="110"/>
      <c r="Q25" s="110"/>
      <c r="R25" s="124"/>
    </row>
    <row r="26" spans="1:18" s="107" customFormat="1" ht="12.75">
      <c r="A26" s="125" t="s">
        <v>69</v>
      </c>
      <c r="B26" s="126" t="s">
        <v>36</v>
      </c>
      <c r="C26" s="126"/>
      <c r="D26" s="126"/>
      <c r="E26" s="126"/>
      <c r="F26" s="126"/>
      <c r="G26" s="126"/>
      <c r="H26" s="127">
        <v>32657.84</v>
      </c>
      <c r="I26" s="127">
        <v>32657.84</v>
      </c>
      <c r="J26" s="127">
        <v>0</v>
      </c>
      <c r="K26" s="128">
        <f t="shared" si="0"/>
        <v>0</v>
      </c>
      <c r="L26" s="129">
        <v>0</v>
      </c>
      <c r="N26" s="110"/>
      <c r="O26" s="110"/>
      <c r="P26" s="110"/>
      <c r="Q26" s="110"/>
      <c r="R26" s="124"/>
    </row>
    <row r="27" spans="1:18" s="107" customFormat="1" ht="12.75">
      <c r="A27" s="125" t="s">
        <v>70</v>
      </c>
      <c r="B27" s="126" t="s">
        <v>36</v>
      </c>
      <c r="C27" s="126"/>
      <c r="D27" s="126"/>
      <c r="E27" s="126"/>
      <c r="F27" s="126"/>
      <c r="G27" s="126"/>
      <c r="H27" s="127">
        <v>12160.33</v>
      </c>
      <c r="I27" s="127">
        <v>12160.3275</v>
      </c>
      <c r="J27" s="127">
        <v>0.002500000000509317</v>
      </c>
      <c r="K27" s="128">
        <f t="shared" si="0"/>
        <v>2.0558652606543713E-07</v>
      </c>
      <c r="L27" s="129">
        <v>0</v>
      </c>
      <c r="N27" s="110"/>
      <c r="O27" s="110"/>
      <c r="P27" s="110"/>
      <c r="Q27" s="110"/>
      <c r="R27" s="124"/>
    </row>
    <row r="28" spans="1:18" s="107" customFormat="1" ht="12.75">
      <c r="A28" s="125" t="s">
        <v>71</v>
      </c>
      <c r="B28" s="126" t="s">
        <v>36</v>
      </c>
      <c r="C28" s="126"/>
      <c r="D28" s="126"/>
      <c r="E28" s="126"/>
      <c r="F28" s="126"/>
      <c r="G28" s="126"/>
      <c r="H28" s="127">
        <v>1418.83</v>
      </c>
      <c r="I28" s="127">
        <v>1418.8266</v>
      </c>
      <c r="J28" s="127">
        <v>0.003399999999828651</v>
      </c>
      <c r="K28" s="128">
        <f t="shared" si="0"/>
        <v>2.396340646750246E-06</v>
      </c>
      <c r="L28" s="129">
        <v>0</v>
      </c>
      <c r="N28" s="110"/>
      <c r="O28" s="110"/>
      <c r="P28" s="110"/>
      <c r="Q28" s="110"/>
      <c r="R28" s="124"/>
    </row>
    <row r="29" spans="1:18" s="107" customFormat="1" ht="12.75">
      <c r="A29" s="125" t="s">
        <v>72</v>
      </c>
      <c r="B29" s="126" t="s">
        <v>36</v>
      </c>
      <c r="C29" s="126"/>
      <c r="D29" s="126"/>
      <c r="E29" s="126"/>
      <c r="F29" s="126"/>
      <c r="G29" s="126"/>
      <c r="H29" s="127">
        <v>45902.5</v>
      </c>
      <c r="I29" s="127">
        <v>45902.4975</v>
      </c>
      <c r="J29" s="127">
        <v>0.0025000000023283064</v>
      </c>
      <c r="K29" s="128">
        <f t="shared" si="0"/>
        <v>5.4463264578798684E-08</v>
      </c>
      <c r="L29" s="129">
        <v>0</v>
      </c>
      <c r="N29" s="110"/>
      <c r="O29" s="110"/>
      <c r="P29" s="110"/>
      <c r="Q29" s="110"/>
      <c r="R29" s="124"/>
    </row>
    <row r="30" spans="1:18" s="107" customFormat="1" ht="12.75">
      <c r="A30" s="125" t="s">
        <v>73</v>
      </c>
      <c r="B30" s="126" t="s">
        <v>51</v>
      </c>
      <c r="C30" s="126"/>
      <c r="D30" s="126">
        <v>1</v>
      </c>
      <c r="E30" s="126"/>
      <c r="F30" s="126"/>
      <c r="G30" s="126">
        <v>1</v>
      </c>
      <c r="H30" s="127">
        <v>337533.2</v>
      </c>
      <c r="I30" s="127">
        <v>337349.1519</v>
      </c>
      <c r="J30" s="127">
        <v>184.04810000001453</v>
      </c>
      <c r="K30" s="128">
        <f t="shared" si="0"/>
        <v>0.0005452740648920299</v>
      </c>
      <c r="L30" s="129">
        <v>0</v>
      </c>
      <c r="N30" s="110"/>
      <c r="O30" s="110"/>
      <c r="P30" s="110"/>
      <c r="Q30" s="110"/>
      <c r="R30" s="124"/>
    </row>
    <row r="31" spans="1:18" s="107" customFormat="1" ht="12.75">
      <c r="A31" s="125" t="s">
        <v>74</v>
      </c>
      <c r="B31" s="126" t="s">
        <v>36</v>
      </c>
      <c r="C31" s="126"/>
      <c r="D31" s="126"/>
      <c r="E31" s="126"/>
      <c r="F31" s="126"/>
      <c r="G31" s="126"/>
      <c r="H31" s="127">
        <v>31896.82</v>
      </c>
      <c r="I31" s="127">
        <v>31896.819</v>
      </c>
      <c r="J31" s="127">
        <v>0.0010000000002037268</v>
      </c>
      <c r="K31" s="128">
        <f t="shared" si="0"/>
        <v>3.135108766967136E-08</v>
      </c>
      <c r="L31" s="129">
        <v>0</v>
      </c>
      <c r="N31" s="110"/>
      <c r="O31" s="110"/>
      <c r="P31" s="110"/>
      <c r="Q31" s="110"/>
      <c r="R31" s="124"/>
    </row>
    <row r="32" spans="1:18" s="107" customFormat="1" ht="12.75">
      <c r="A32" s="125" t="s">
        <v>75</v>
      </c>
      <c r="B32" s="126" t="s">
        <v>36</v>
      </c>
      <c r="C32" s="126"/>
      <c r="D32" s="126"/>
      <c r="E32" s="126"/>
      <c r="F32" s="126"/>
      <c r="G32" s="126"/>
      <c r="H32" s="127">
        <v>213046.55</v>
      </c>
      <c r="I32" s="127">
        <v>213046.55</v>
      </c>
      <c r="J32" s="127">
        <v>0</v>
      </c>
      <c r="K32" s="128">
        <f t="shared" si="0"/>
        <v>0</v>
      </c>
      <c r="L32" s="129">
        <v>0</v>
      </c>
      <c r="N32" s="110"/>
      <c r="O32" s="110"/>
      <c r="P32" s="110"/>
      <c r="Q32" s="110"/>
      <c r="R32" s="124"/>
    </row>
    <row r="33" spans="1:18" s="107" customFormat="1" ht="12.75">
      <c r="A33" s="125" t="s">
        <v>76</v>
      </c>
      <c r="B33" s="126" t="s">
        <v>36</v>
      </c>
      <c r="C33" s="126"/>
      <c r="D33" s="126"/>
      <c r="E33" s="126"/>
      <c r="F33" s="126"/>
      <c r="G33" s="126"/>
      <c r="H33" s="127">
        <v>226311.84</v>
      </c>
      <c r="I33" s="127">
        <v>226311.8391146</v>
      </c>
      <c r="J33" s="127">
        <v>0.0008853999897837639</v>
      </c>
      <c r="K33" s="128">
        <f t="shared" si="0"/>
        <v>3.91230078719595E-09</v>
      </c>
      <c r="L33" s="129">
        <v>0</v>
      </c>
      <c r="N33" s="110"/>
      <c r="O33" s="110"/>
      <c r="P33" s="110"/>
      <c r="Q33" s="110"/>
      <c r="R33" s="124"/>
    </row>
    <row r="34" spans="1:18" s="107" customFormat="1" ht="12.75">
      <c r="A34" s="125" t="s">
        <v>77</v>
      </c>
      <c r="B34" s="126" t="s">
        <v>36</v>
      </c>
      <c r="C34" s="126"/>
      <c r="D34" s="126"/>
      <c r="E34" s="126"/>
      <c r="F34" s="126"/>
      <c r="G34" s="126"/>
      <c r="H34" s="127">
        <v>478976.11</v>
      </c>
      <c r="I34" s="127">
        <v>478976.1143508</v>
      </c>
      <c r="J34" s="127">
        <v>-0.004350800008978695</v>
      </c>
      <c r="K34" s="128">
        <f t="shared" si="0"/>
        <v>-9.083542828427695E-09</v>
      </c>
      <c r="L34" s="129">
        <v>0</v>
      </c>
      <c r="N34" s="110"/>
      <c r="O34" s="110"/>
      <c r="P34" s="110"/>
      <c r="Q34" s="110"/>
      <c r="R34" s="124"/>
    </row>
    <row r="35" spans="1:18" s="107" customFormat="1" ht="12.75">
      <c r="A35" s="125" t="s">
        <v>78</v>
      </c>
      <c r="B35" s="126" t="s">
        <v>36</v>
      </c>
      <c r="C35" s="126"/>
      <c r="D35" s="126"/>
      <c r="E35" s="126"/>
      <c r="F35" s="126"/>
      <c r="G35" s="126"/>
      <c r="H35" s="127">
        <v>420704.26</v>
      </c>
      <c r="I35" s="127">
        <v>420704.26</v>
      </c>
      <c r="J35" s="127">
        <v>0</v>
      </c>
      <c r="K35" s="128">
        <f t="shared" si="0"/>
        <v>0</v>
      </c>
      <c r="L35" s="129">
        <v>0</v>
      </c>
      <c r="N35" s="110"/>
      <c r="O35" s="110"/>
      <c r="P35" s="110"/>
      <c r="Q35" s="110"/>
      <c r="R35" s="124"/>
    </row>
    <row r="36" spans="1:18" s="107" customFormat="1" ht="12.75">
      <c r="A36" s="125" t="s">
        <v>79</v>
      </c>
      <c r="B36" s="126" t="s">
        <v>51</v>
      </c>
      <c r="C36" s="126"/>
      <c r="D36" s="126">
        <v>1</v>
      </c>
      <c r="E36" s="126"/>
      <c r="F36" s="126"/>
      <c r="G36" s="126">
        <v>1</v>
      </c>
      <c r="H36" s="127">
        <v>21780.5</v>
      </c>
      <c r="I36" s="127">
        <v>13955.04</v>
      </c>
      <c r="J36" s="127">
        <v>7825.459999999999</v>
      </c>
      <c r="K36" s="128">
        <f t="shared" si="0"/>
        <v>0.3592874360092743</v>
      </c>
      <c r="L36" s="129">
        <v>0</v>
      </c>
      <c r="N36" s="110"/>
      <c r="O36" s="110"/>
      <c r="P36" s="110"/>
      <c r="Q36" s="110"/>
      <c r="R36" s="124"/>
    </row>
    <row r="37" spans="1:18" s="107" customFormat="1" ht="12.75">
      <c r="A37" s="125" t="s">
        <v>80</v>
      </c>
      <c r="B37" s="126" t="s">
        <v>36</v>
      </c>
      <c r="C37" s="126"/>
      <c r="D37" s="126"/>
      <c r="E37" s="126"/>
      <c r="F37" s="126"/>
      <c r="G37" s="126"/>
      <c r="H37" s="127">
        <v>5842.8</v>
      </c>
      <c r="I37" s="127">
        <v>5842.8</v>
      </c>
      <c r="J37" s="127">
        <v>0</v>
      </c>
      <c r="K37" s="128">
        <f t="shared" si="0"/>
        <v>0</v>
      </c>
      <c r="L37" s="129">
        <v>0</v>
      </c>
      <c r="N37" s="110"/>
      <c r="O37" s="110"/>
      <c r="P37" s="110"/>
      <c r="Q37" s="110"/>
      <c r="R37" s="124"/>
    </row>
    <row r="38" spans="1:18" s="107" customFormat="1" ht="12.75">
      <c r="A38" s="125" t="s">
        <v>81</v>
      </c>
      <c r="B38" s="126" t="s">
        <v>36</v>
      </c>
      <c r="C38" s="126"/>
      <c r="D38" s="126"/>
      <c r="E38" s="126"/>
      <c r="F38" s="126"/>
      <c r="G38" s="126"/>
      <c r="H38" s="127">
        <v>12723.17</v>
      </c>
      <c r="I38" s="127">
        <v>12723.17</v>
      </c>
      <c r="J38" s="127">
        <v>0</v>
      </c>
      <c r="K38" s="128">
        <f t="shared" si="0"/>
        <v>0</v>
      </c>
      <c r="L38" s="129">
        <v>0</v>
      </c>
      <c r="N38" s="110"/>
      <c r="O38" s="110"/>
      <c r="P38" s="110"/>
      <c r="Q38" s="110"/>
      <c r="R38" s="124"/>
    </row>
    <row r="39" spans="1:18" s="107" customFormat="1" ht="12.75">
      <c r="A39" s="125" t="s">
        <v>82</v>
      </c>
      <c r="B39" s="126" t="s">
        <v>36</v>
      </c>
      <c r="C39" s="126"/>
      <c r="D39" s="126"/>
      <c r="E39" s="126"/>
      <c r="F39" s="126"/>
      <c r="G39" s="126"/>
      <c r="H39" s="127">
        <v>4576.86</v>
      </c>
      <c r="I39" s="127">
        <v>4576.86</v>
      </c>
      <c r="J39" s="127">
        <v>0</v>
      </c>
      <c r="K39" s="128">
        <f t="shared" si="0"/>
        <v>0</v>
      </c>
      <c r="L39" s="129">
        <v>0</v>
      </c>
      <c r="N39" s="110"/>
      <c r="O39" s="110"/>
      <c r="P39" s="110"/>
      <c r="Q39" s="110"/>
      <c r="R39" s="124"/>
    </row>
    <row r="40" spans="1:18" s="107" customFormat="1" ht="12.75">
      <c r="A40" s="125" t="s">
        <v>83</v>
      </c>
      <c r="B40" s="126" t="s">
        <v>36</v>
      </c>
      <c r="C40" s="126"/>
      <c r="D40" s="126"/>
      <c r="E40" s="126"/>
      <c r="F40" s="126"/>
      <c r="G40" s="126"/>
      <c r="H40" s="127">
        <v>7700.81</v>
      </c>
      <c r="I40" s="127">
        <v>7700.81</v>
      </c>
      <c r="J40" s="127">
        <v>0</v>
      </c>
      <c r="K40" s="128">
        <f t="shared" si="0"/>
        <v>0</v>
      </c>
      <c r="L40" s="129">
        <v>0</v>
      </c>
      <c r="N40" s="110"/>
      <c r="O40" s="110"/>
      <c r="P40" s="110"/>
      <c r="Q40" s="110"/>
      <c r="R40" s="124"/>
    </row>
    <row r="41" spans="1:18" s="107" customFormat="1" ht="12.75">
      <c r="A41" s="125" t="s">
        <v>84</v>
      </c>
      <c r="B41" s="126" t="s">
        <v>51</v>
      </c>
      <c r="C41" s="126"/>
      <c r="D41" s="126">
        <v>1</v>
      </c>
      <c r="E41" s="126"/>
      <c r="F41" s="126"/>
      <c r="G41" s="126">
        <v>1</v>
      </c>
      <c r="H41" s="127">
        <v>37774.19</v>
      </c>
      <c r="I41" s="127">
        <v>37709.9181</v>
      </c>
      <c r="J41" s="127">
        <v>64.27189999999973</v>
      </c>
      <c r="K41" s="128">
        <f t="shared" si="0"/>
        <v>0.0017014765902326357</v>
      </c>
      <c r="L41" s="129">
        <v>0</v>
      </c>
      <c r="N41" s="110"/>
      <c r="O41" s="110"/>
      <c r="P41" s="110"/>
      <c r="Q41" s="110"/>
      <c r="R41" s="124"/>
    </row>
    <row r="42" spans="1:18" s="107" customFormat="1" ht="12.75">
      <c r="A42" s="125" t="s">
        <v>85</v>
      </c>
      <c r="B42" s="126" t="s">
        <v>36</v>
      </c>
      <c r="C42" s="126"/>
      <c r="D42" s="126"/>
      <c r="E42" s="126"/>
      <c r="F42" s="126"/>
      <c r="G42" s="126"/>
      <c r="H42" s="127">
        <v>22060.64</v>
      </c>
      <c r="I42" s="127">
        <v>22060.64</v>
      </c>
      <c r="J42" s="127">
        <v>0</v>
      </c>
      <c r="K42" s="128">
        <f t="shared" si="0"/>
        <v>0</v>
      </c>
      <c r="L42" s="129">
        <v>0</v>
      </c>
      <c r="N42" s="110"/>
      <c r="O42" s="110"/>
      <c r="P42" s="110"/>
      <c r="Q42" s="110"/>
      <c r="R42" s="124"/>
    </row>
    <row r="43" spans="1:18" s="107" customFormat="1" ht="12.75">
      <c r="A43" s="125" t="s">
        <v>86</v>
      </c>
      <c r="B43" s="126" t="s">
        <v>51</v>
      </c>
      <c r="C43" s="126">
        <v>1</v>
      </c>
      <c r="D43" s="126"/>
      <c r="E43" s="126"/>
      <c r="F43" s="126"/>
      <c r="G43" s="126">
        <v>1</v>
      </c>
      <c r="H43" s="127">
        <v>4933.76</v>
      </c>
      <c r="I43" s="127">
        <v>4933.76</v>
      </c>
      <c r="J43" s="127">
        <v>0</v>
      </c>
      <c r="K43" s="128">
        <f t="shared" si="0"/>
        <v>0</v>
      </c>
      <c r="L43" s="129">
        <v>0</v>
      </c>
      <c r="N43" s="110"/>
      <c r="O43" s="110"/>
      <c r="P43" s="110"/>
      <c r="Q43" s="110"/>
      <c r="R43" s="124"/>
    </row>
    <row r="44" spans="1:18" s="107" customFormat="1" ht="12.75">
      <c r="A44" s="125" t="s">
        <v>87</v>
      </c>
      <c r="B44" s="126" t="s">
        <v>36</v>
      </c>
      <c r="C44" s="126"/>
      <c r="D44" s="126"/>
      <c r="E44" s="126"/>
      <c r="F44" s="126"/>
      <c r="G44" s="126"/>
      <c r="H44" s="127">
        <v>5351.52</v>
      </c>
      <c r="I44" s="127">
        <v>5351.52</v>
      </c>
      <c r="J44" s="127">
        <v>0</v>
      </c>
      <c r="K44" s="128">
        <f t="shared" si="0"/>
        <v>0</v>
      </c>
      <c r="L44" s="129">
        <v>0</v>
      </c>
      <c r="N44" s="110"/>
      <c r="O44" s="110"/>
      <c r="P44" s="110"/>
      <c r="Q44" s="110"/>
      <c r="R44" s="124"/>
    </row>
    <row r="45" spans="1:18" s="107" customFormat="1" ht="12.75">
      <c r="A45" s="125" t="s">
        <v>88</v>
      </c>
      <c r="B45" s="126" t="s">
        <v>36</v>
      </c>
      <c r="C45" s="126"/>
      <c r="D45" s="126"/>
      <c r="E45" s="126"/>
      <c r="F45" s="126"/>
      <c r="G45" s="126"/>
      <c r="H45" s="127">
        <v>16614.49</v>
      </c>
      <c r="I45" s="127">
        <v>16614.49</v>
      </c>
      <c r="J45" s="127">
        <v>0</v>
      </c>
      <c r="K45" s="128">
        <f t="shared" si="0"/>
        <v>0</v>
      </c>
      <c r="L45" s="129">
        <v>0</v>
      </c>
      <c r="N45" s="110"/>
      <c r="O45" s="110"/>
      <c r="P45" s="110"/>
      <c r="Q45" s="110"/>
      <c r="R45" s="124"/>
    </row>
    <row r="46" spans="1:18" s="107" customFormat="1" ht="12.75">
      <c r="A46" s="125" t="s">
        <v>89</v>
      </c>
      <c r="B46" s="126" t="s">
        <v>51</v>
      </c>
      <c r="C46" s="126"/>
      <c r="D46" s="126">
        <v>1</v>
      </c>
      <c r="E46" s="126"/>
      <c r="F46" s="126"/>
      <c r="G46" s="126">
        <v>1</v>
      </c>
      <c r="H46" s="127">
        <v>45831.9</v>
      </c>
      <c r="I46" s="127">
        <v>45785.64</v>
      </c>
      <c r="J46" s="127">
        <v>46.26000000000204</v>
      </c>
      <c r="K46" s="128">
        <f t="shared" si="0"/>
        <v>0.0010093406557441877</v>
      </c>
      <c r="L46" s="129">
        <v>0</v>
      </c>
      <c r="N46" s="110"/>
      <c r="O46" s="110"/>
      <c r="P46" s="110"/>
      <c r="Q46" s="110"/>
      <c r="R46" s="124"/>
    </row>
    <row r="47" spans="1:18" s="107" customFormat="1" ht="12.75">
      <c r="A47" s="125" t="s">
        <v>90</v>
      </c>
      <c r="B47" s="126" t="s">
        <v>36</v>
      </c>
      <c r="C47" s="126"/>
      <c r="D47" s="126"/>
      <c r="E47" s="126"/>
      <c r="F47" s="126"/>
      <c r="G47" s="126"/>
      <c r="H47" s="127">
        <v>50397.93</v>
      </c>
      <c r="I47" s="127">
        <v>50397.93</v>
      </c>
      <c r="J47" s="127">
        <v>0</v>
      </c>
      <c r="K47" s="128">
        <f t="shared" si="0"/>
        <v>0</v>
      </c>
      <c r="L47" s="129">
        <v>0</v>
      </c>
      <c r="N47" s="110"/>
      <c r="O47" s="110"/>
      <c r="P47" s="110"/>
      <c r="Q47" s="110"/>
      <c r="R47" s="124"/>
    </row>
    <row r="48" spans="1:18" s="107" customFormat="1" ht="12.75">
      <c r="A48" s="125" t="s">
        <v>91</v>
      </c>
      <c r="B48" s="126" t="s">
        <v>36</v>
      </c>
      <c r="C48" s="126"/>
      <c r="D48" s="126"/>
      <c r="E48" s="126"/>
      <c r="F48" s="126"/>
      <c r="G48" s="126"/>
      <c r="H48" s="127">
        <v>544645.3</v>
      </c>
      <c r="I48" s="127">
        <v>544645.3</v>
      </c>
      <c r="J48" s="127">
        <v>0</v>
      </c>
      <c r="K48" s="128">
        <f t="shared" si="0"/>
        <v>0</v>
      </c>
      <c r="L48" s="129">
        <v>0</v>
      </c>
      <c r="N48" s="110"/>
      <c r="O48" s="110"/>
      <c r="P48" s="110"/>
      <c r="Q48" s="110"/>
      <c r="R48" s="124"/>
    </row>
    <row r="49" spans="1:18" s="107" customFormat="1" ht="13.5" thickBot="1">
      <c r="A49" s="130" t="s">
        <v>92</v>
      </c>
      <c r="B49" s="131" t="s">
        <v>36</v>
      </c>
      <c r="C49" s="131"/>
      <c r="D49" s="131"/>
      <c r="E49" s="131"/>
      <c r="F49" s="131"/>
      <c r="G49" s="131"/>
      <c r="H49" s="132">
        <v>71695.04</v>
      </c>
      <c r="I49" s="132">
        <v>71695.04</v>
      </c>
      <c r="J49" s="132">
        <v>0</v>
      </c>
      <c r="K49" s="133">
        <f t="shared" si="0"/>
        <v>0</v>
      </c>
      <c r="L49" s="134">
        <v>0</v>
      </c>
      <c r="N49" s="110"/>
      <c r="O49" s="110"/>
      <c r="P49" s="110"/>
      <c r="Q49" s="110"/>
      <c r="R49" s="124"/>
    </row>
    <row r="50" spans="1:18" ht="12.75">
      <c r="A50" s="135"/>
      <c r="B50" s="136"/>
      <c r="C50" s="136"/>
      <c r="D50" s="137"/>
      <c r="E50" s="136"/>
      <c r="F50" s="136"/>
      <c r="G50" s="138" t="s">
        <v>93</v>
      </c>
      <c r="H50" s="139">
        <f>SUM(H8:H49)</f>
        <v>3335861.87</v>
      </c>
      <c r="I50" s="139">
        <f>SUM(I8:I49)</f>
        <v>3327120.0519654006</v>
      </c>
      <c r="J50" s="139">
        <f>SUM(J8:J49)</f>
        <v>8741.81803459996</v>
      </c>
      <c r="K50" s="152"/>
      <c r="L50" s="110"/>
      <c r="N50" s="110"/>
      <c r="O50" s="110"/>
      <c r="P50" s="110"/>
      <c r="Q50" s="110"/>
      <c r="R50" s="110"/>
    </row>
    <row r="51" spans="1:18" ht="12.75">
      <c r="A51" s="141"/>
      <c r="B51" s="136"/>
      <c r="C51" s="136"/>
      <c r="D51" s="137"/>
      <c r="E51" s="136"/>
      <c r="F51" s="136"/>
      <c r="G51" s="138" t="s">
        <v>285</v>
      </c>
      <c r="H51" s="139"/>
      <c r="I51" s="139"/>
      <c r="J51" s="139">
        <f>J50</f>
        <v>8741.81803459996</v>
      </c>
      <c r="K51" s="124"/>
      <c r="L51" s="110"/>
      <c r="N51" s="142"/>
      <c r="O51" s="143"/>
      <c r="P51" s="143"/>
      <c r="Q51" s="144"/>
      <c r="R51" s="144"/>
    </row>
    <row r="52" spans="1:18" ht="12.75">
      <c r="A52" s="141"/>
      <c r="B52" s="136"/>
      <c r="C52" s="136"/>
      <c r="D52" s="137"/>
      <c r="E52" s="136"/>
      <c r="F52" s="136"/>
      <c r="G52" s="138" t="s">
        <v>210</v>
      </c>
      <c r="H52" s="110"/>
      <c r="I52" s="110"/>
      <c r="J52" s="167">
        <f>J51/H50</f>
        <v>0.0026205575576185233</v>
      </c>
      <c r="K52" s="124"/>
      <c r="L52" s="110"/>
      <c r="N52" s="144"/>
      <c r="O52" s="143"/>
      <c r="P52" s="143"/>
      <c r="Q52" s="144"/>
      <c r="R52" s="144"/>
    </row>
    <row r="53" spans="1:16" ht="12.75">
      <c r="A53" s="141"/>
      <c r="B53" s="136"/>
      <c r="C53" s="136"/>
      <c r="D53" s="137"/>
      <c r="E53" s="136"/>
      <c r="F53" s="136"/>
      <c r="G53" s="137"/>
      <c r="H53" s="110"/>
      <c r="I53" s="110"/>
      <c r="J53" s="110"/>
      <c r="K53" s="110"/>
      <c r="L53" s="124"/>
      <c r="M53" s="110"/>
      <c r="O53" s="148"/>
      <c r="P53" s="148"/>
    </row>
    <row r="54" spans="1:16" ht="12.75">
      <c r="A54" s="141"/>
      <c r="B54" s="136"/>
      <c r="C54" s="136"/>
      <c r="D54" s="137"/>
      <c r="E54" s="136"/>
      <c r="F54" s="136"/>
      <c r="G54" s="149"/>
      <c r="H54" s="150"/>
      <c r="I54" s="151"/>
      <c r="J54" s="110"/>
      <c r="K54" s="110"/>
      <c r="L54" s="124"/>
      <c r="M54" s="110"/>
      <c r="O54" s="148"/>
      <c r="P54" s="148"/>
    </row>
    <row r="55" spans="1:16" ht="12.75">
      <c r="A55" s="141"/>
      <c r="B55" s="136"/>
      <c r="C55" s="136"/>
      <c r="D55" s="137"/>
      <c r="E55" s="136"/>
      <c r="F55" s="136"/>
      <c r="G55" s="149"/>
      <c r="H55" s="150"/>
      <c r="I55" s="204"/>
      <c r="J55" s="110"/>
      <c r="K55" s="110"/>
      <c r="L55" s="124"/>
      <c r="M55" s="110"/>
      <c r="O55" s="148"/>
      <c r="P55" s="148"/>
    </row>
    <row r="58" spans="1:2" ht="12.75">
      <c r="A58" s="229" t="s">
        <v>291</v>
      </c>
      <c r="B58" s="230"/>
    </row>
    <row r="60" spans="1:3" ht="12.75">
      <c r="A60" s="231" t="s">
        <v>95</v>
      </c>
      <c r="B60" s="232"/>
      <c r="C60" s="207">
        <v>157821187.75</v>
      </c>
    </row>
    <row r="61" spans="1:3" ht="12.75">
      <c r="A61" s="231" t="s">
        <v>96</v>
      </c>
      <c r="B61" s="232"/>
      <c r="C61" s="213">
        <v>40664</v>
      </c>
    </row>
    <row r="62" spans="1:3" ht="12.75">
      <c r="A62" s="231" t="s">
        <v>286</v>
      </c>
      <c r="B62" s="232"/>
      <c r="C62" s="209">
        <f>0.02*C60</f>
        <v>3156423.755</v>
      </c>
    </row>
    <row r="63" spans="1:3" ht="12.75">
      <c r="A63" s="231" t="s">
        <v>289</v>
      </c>
      <c r="B63" s="232"/>
      <c r="C63" s="211">
        <f>C60/42</f>
        <v>3757647.3273809524</v>
      </c>
    </row>
    <row r="64" spans="1:3" ht="12.75">
      <c r="A64" s="231" t="s">
        <v>16</v>
      </c>
      <c r="B64" s="232"/>
      <c r="C64" s="211">
        <v>1423442.91</v>
      </c>
    </row>
    <row r="65" spans="1:3" ht="12.75">
      <c r="A65" s="231" t="s">
        <v>284</v>
      </c>
      <c r="B65" s="232"/>
      <c r="C65" s="211">
        <v>10916726.91</v>
      </c>
    </row>
    <row r="66" spans="1:3" ht="12.75">
      <c r="A66" s="231" t="s">
        <v>292</v>
      </c>
      <c r="B66" s="232"/>
      <c r="C66" s="208">
        <f>C65-C64</f>
        <v>9493284</v>
      </c>
    </row>
    <row r="67" spans="1:3" ht="12.75">
      <c r="A67" s="214"/>
      <c r="B67" s="214"/>
      <c r="C67" s="214"/>
    </row>
    <row r="68" spans="1:3" ht="29.25" customHeight="1">
      <c r="A68" s="235" t="s">
        <v>288</v>
      </c>
      <c r="B68" s="236"/>
      <c r="C68" s="215">
        <v>147</v>
      </c>
    </row>
    <row r="69" spans="1:3" ht="12.75">
      <c r="A69" s="237" t="s">
        <v>290</v>
      </c>
      <c r="B69" s="238"/>
      <c r="C69" s="216">
        <f>C68-42</f>
        <v>105</v>
      </c>
    </row>
    <row r="70" spans="1:3" ht="12.75">
      <c r="A70" s="231" t="s">
        <v>289</v>
      </c>
      <c r="B70" s="232"/>
      <c r="C70" s="211">
        <f>C60/C68</f>
        <v>1073613.5221088436</v>
      </c>
    </row>
    <row r="71" spans="1:3" ht="12.75">
      <c r="A71" s="231" t="s">
        <v>16</v>
      </c>
      <c r="B71" s="232"/>
      <c r="C71" s="14">
        <v>406698.16</v>
      </c>
    </row>
    <row r="72" spans="1:3" ht="12.75">
      <c r="A72" s="231" t="s">
        <v>284</v>
      </c>
      <c r="B72" s="232"/>
      <c r="C72" s="14">
        <v>3119065.98</v>
      </c>
    </row>
    <row r="73" spans="1:3" ht="12.75">
      <c r="A73" s="231" t="s">
        <v>292</v>
      </c>
      <c r="B73" s="232"/>
      <c r="C73" s="208">
        <f>C72-C71</f>
        <v>2712367.82</v>
      </c>
    </row>
    <row r="86" ht="12.75">
      <c r="C86" s="2"/>
    </row>
  </sheetData>
  <sheetProtection/>
  <mergeCells count="18">
    <mergeCell ref="A68:B68"/>
    <mergeCell ref="A70:B70"/>
    <mergeCell ref="A71:B71"/>
    <mergeCell ref="A72:B72"/>
    <mergeCell ref="A73:B73"/>
    <mergeCell ref="A69:B69"/>
    <mergeCell ref="A61:B61"/>
    <mergeCell ref="A62:B62"/>
    <mergeCell ref="A63:B63"/>
    <mergeCell ref="A64:B64"/>
    <mergeCell ref="A65:B65"/>
    <mergeCell ref="A66:B66"/>
    <mergeCell ref="A3:M3"/>
    <mergeCell ref="B5:G5"/>
    <mergeCell ref="H5:L5"/>
    <mergeCell ref="A2:M2"/>
    <mergeCell ref="A58:B58"/>
    <mergeCell ref="A60:B60"/>
  </mergeCells>
  <conditionalFormatting sqref="J54:M55 H53:M53">
    <cfRule type="expression" priority="4" dxfId="0" stopIfTrue="1">
      <formula>$L53="No"</formula>
    </cfRule>
  </conditionalFormatting>
  <conditionalFormatting sqref="N8:R50 H8:L52">
    <cfRule type="expression" priority="5" dxfId="0" stopIfTrue="1">
      <formula>$K8="No"</formula>
    </cfRule>
  </conditionalFormatting>
  <conditionalFormatting sqref="M5">
    <cfRule type="expression" priority="3" dxfId="0" stopIfTrue="1">
      <formula>$K5="No"</formula>
    </cfRule>
  </conditionalFormatting>
  <conditionalFormatting sqref="G8">
    <cfRule type="cellIs" priority="2" dxfId="2" operator="equal" stopIfTrue="1">
      <formula>"ERR"</formula>
    </cfRule>
  </conditionalFormatting>
  <conditionalFormatting sqref="F8">
    <cfRule type="cellIs" priority="1" dxfId="2" operator="equal" stopIfTrue="1">
      <formula>"ERR"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0" r:id="rId5"/>
  <drawing r:id="rId4"/>
  <legacyDrawing r:id="rId3"/>
  <oleObjects>
    <oleObject progId="Equation.3" shapeId="1745544" r:id="rId1"/>
    <oleObject progId="Equation.3" shapeId="174554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4"/>
  <sheetViews>
    <sheetView zoomScalePageLayoutView="0" workbookViewId="0" topLeftCell="A183">
      <selection activeCell="C204" sqref="C204"/>
    </sheetView>
  </sheetViews>
  <sheetFormatPr defaultColWidth="9.140625" defaultRowHeight="12.75"/>
  <cols>
    <col min="1" max="1" width="15.00390625" style="0" customWidth="1"/>
    <col min="2" max="2" width="11.7109375" style="0" customWidth="1"/>
    <col min="3" max="3" width="18.57421875" style="0" customWidth="1"/>
    <col min="4" max="4" width="15.421875" style="0" bestFit="1" customWidth="1"/>
    <col min="7" max="7" width="18.7109375" style="0" customWidth="1"/>
    <col min="8" max="8" width="13.28125" style="164" customWidth="1"/>
    <col min="9" max="9" width="16.421875" style="164" customWidth="1"/>
    <col min="10" max="10" width="12.7109375" style="0" bestFit="1" customWidth="1"/>
    <col min="13" max="13" width="8.7109375" style="0" customWidth="1"/>
  </cols>
  <sheetData>
    <row r="2" spans="1:15" ht="20.25">
      <c r="A2" s="244" t="s">
        <v>29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74"/>
      <c r="N2" s="174"/>
      <c r="O2" s="174"/>
    </row>
    <row r="3" spans="1:15" ht="20.25">
      <c r="A3" s="244" t="s">
        <v>30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174"/>
      <c r="N3" s="174"/>
      <c r="O3" s="174"/>
    </row>
    <row r="4" spans="1:15" ht="13.5" thickBot="1">
      <c r="A4" s="177"/>
      <c r="B4" s="174"/>
      <c r="C4" s="174"/>
      <c r="D4" s="178"/>
      <c r="E4" s="174"/>
      <c r="F4" s="174"/>
      <c r="G4" s="178"/>
      <c r="H4" s="174"/>
      <c r="I4" s="174"/>
      <c r="J4" s="174"/>
      <c r="K4" s="174"/>
      <c r="L4" s="174"/>
      <c r="M4" s="174"/>
      <c r="N4" s="174"/>
      <c r="O4" s="174"/>
    </row>
    <row r="5" spans="1:16" ht="15.75" customHeight="1" thickBot="1">
      <c r="A5" s="109"/>
      <c r="B5" s="245" t="s">
        <v>31</v>
      </c>
      <c r="C5" s="246"/>
      <c r="D5" s="246"/>
      <c r="E5" s="246"/>
      <c r="F5" s="246"/>
      <c r="G5" s="247"/>
      <c r="H5" s="248" t="s">
        <v>32</v>
      </c>
      <c r="I5" s="249"/>
      <c r="J5" s="249"/>
      <c r="K5" s="250"/>
      <c r="L5" s="179"/>
      <c r="M5" s="194"/>
      <c r="N5" s="194"/>
      <c r="O5" s="194"/>
      <c r="P5" s="144"/>
    </row>
    <row r="6" spans="1:16" ht="12.75">
      <c r="A6" s="109" t="s">
        <v>33</v>
      </c>
      <c r="B6" s="113"/>
      <c r="C6" s="109" t="s">
        <v>34</v>
      </c>
      <c r="D6" s="155" t="s">
        <v>35</v>
      </c>
      <c r="E6" s="109" t="s">
        <v>36</v>
      </c>
      <c r="F6" s="109" t="s">
        <v>37</v>
      </c>
      <c r="G6" s="155" t="s">
        <v>38</v>
      </c>
      <c r="H6" s="114" t="s">
        <v>39</v>
      </c>
      <c r="I6" s="109" t="s">
        <v>40</v>
      </c>
      <c r="J6" s="109" t="s">
        <v>41</v>
      </c>
      <c r="K6" s="109" t="s">
        <v>37</v>
      </c>
      <c r="L6" s="174"/>
      <c r="M6" s="115"/>
      <c r="N6" s="115"/>
      <c r="O6" s="115"/>
      <c r="P6" s="115"/>
    </row>
    <row r="7" spans="1:16" ht="13.5" thickBot="1">
      <c r="A7" s="154" t="s">
        <v>43</v>
      </c>
      <c r="B7" s="171" t="s">
        <v>44</v>
      </c>
      <c r="C7" s="154" t="s">
        <v>45</v>
      </c>
      <c r="D7" s="170" t="s">
        <v>45</v>
      </c>
      <c r="E7" s="154" t="s">
        <v>46</v>
      </c>
      <c r="F7" s="154" t="s">
        <v>45</v>
      </c>
      <c r="G7" s="170" t="s">
        <v>47</v>
      </c>
      <c r="H7" s="153" t="s">
        <v>48</v>
      </c>
      <c r="I7" s="154" t="s">
        <v>48</v>
      </c>
      <c r="J7" s="154" t="s">
        <v>49</v>
      </c>
      <c r="K7" s="154" t="s">
        <v>41</v>
      </c>
      <c r="L7" s="174"/>
      <c r="M7" s="115"/>
      <c r="N7" s="115"/>
      <c r="O7" s="115"/>
      <c r="P7" s="115"/>
    </row>
    <row r="8" spans="1:16" ht="12.75">
      <c r="A8" s="180" t="s">
        <v>97</v>
      </c>
      <c r="B8" s="181" t="s">
        <v>36</v>
      </c>
      <c r="C8" s="181"/>
      <c r="D8" s="195"/>
      <c r="E8" s="181"/>
      <c r="F8" s="182"/>
      <c r="G8" s="196"/>
      <c r="H8" s="183">
        <v>641.87</v>
      </c>
      <c r="I8" s="183">
        <v>641.87</v>
      </c>
      <c r="J8" s="183">
        <f>H8-I8</f>
        <v>0</v>
      </c>
      <c r="K8" s="184">
        <v>0</v>
      </c>
      <c r="L8" s="174"/>
      <c r="M8" s="179"/>
      <c r="N8" s="179"/>
      <c r="O8" s="185"/>
      <c r="P8" s="124"/>
    </row>
    <row r="9" spans="1:16" ht="12.75">
      <c r="A9" s="186" t="s">
        <v>98</v>
      </c>
      <c r="B9" s="187" t="s">
        <v>36</v>
      </c>
      <c r="C9" s="187"/>
      <c r="D9" s="197"/>
      <c r="E9" s="187"/>
      <c r="F9" s="198"/>
      <c r="G9" s="199"/>
      <c r="H9" s="188">
        <v>2876</v>
      </c>
      <c r="I9" s="188">
        <v>2876</v>
      </c>
      <c r="J9" s="172">
        <f aca="true" t="shared" si="0" ref="J9:J72">H9-I9</f>
        <v>0</v>
      </c>
      <c r="K9" s="189">
        <v>0</v>
      </c>
      <c r="L9" s="174"/>
      <c r="M9" s="179"/>
      <c r="N9" s="179"/>
      <c r="O9" s="185"/>
      <c r="P9" s="124"/>
    </row>
    <row r="10" spans="1:16" ht="12.75">
      <c r="A10" s="186" t="s">
        <v>99</v>
      </c>
      <c r="B10" s="187" t="s">
        <v>36</v>
      </c>
      <c r="C10" s="187"/>
      <c r="D10" s="197"/>
      <c r="E10" s="187"/>
      <c r="F10" s="198"/>
      <c r="G10" s="199"/>
      <c r="H10" s="188">
        <v>4486.56</v>
      </c>
      <c r="I10" s="188">
        <v>4486.56</v>
      </c>
      <c r="J10" s="172">
        <f t="shared" si="0"/>
        <v>0</v>
      </c>
      <c r="K10" s="189">
        <v>0</v>
      </c>
      <c r="L10" s="174"/>
      <c r="M10" s="179"/>
      <c r="N10" s="179"/>
      <c r="O10" s="185"/>
      <c r="P10" s="124"/>
    </row>
    <row r="11" spans="1:16" ht="12.75">
      <c r="A11" s="186" t="s">
        <v>100</v>
      </c>
      <c r="B11" s="187" t="s">
        <v>36</v>
      </c>
      <c r="C11" s="187"/>
      <c r="D11" s="197"/>
      <c r="E11" s="187"/>
      <c r="F11" s="198"/>
      <c r="G11" s="199"/>
      <c r="H11" s="188">
        <v>322.2</v>
      </c>
      <c r="I11" s="188">
        <v>322.2</v>
      </c>
      <c r="J11" s="172">
        <f t="shared" si="0"/>
        <v>0</v>
      </c>
      <c r="K11" s="189">
        <v>0</v>
      </c>
      <c r="L11" s="174"/>
      <c r="M11" s="179"/>
      <c r="N11" s="179"/>
      <c r="O11" s="185"/>
      <c r="P11" s="124"/>
    </row>
    <row r="12" spans="1:16" ht="12.75">
      <c r="A12" s="186" t="s">
        <v>101</v>
      </c>
      <c r="B12" s="187" t="s">
        <v>36</v>
      </c>
      <c r="C12" s="187"/>
      <c r="D12" s="197"/>
      <c r="E12" s="187"/>
      <c r="F12" s="198"/>
      <c r="G12" s="199"/>
      <c r="H12" s="188">
        <v>1380.48</v>
      </c>
      <c r="I12" s="188">
        <v>1380.48</v>
      </c>
      <c r="J12" s="172">
        <f t="shared" si="0"/>
        <v>0</v>
      </c>
      <c r="K12" s="189">
        <v>0</v>
      </c>
      <c r="L12" s="174"/>
      <c r="M12" s="179"/>
      <c r="N12" s="179"/>
      <c r="O12" s="185"/>
      <c r="P12" s="124"/>
    </row>
    <row r="13" spans="1:16" ht="12.75">
      <c r="A13" s="186" t="s">
        <v>102</v>
      </c>
      <c r="B13" s="187" t="s">
        <v>36</v>
      </c>
      <c r="C13" s="187"/>
      <c r="D13" s="197"/>
      <c r="E13" s="187"/>
      <c r="F13" s="198"/>
      <c r="G13" s="199"/>
      <c r="H13" s="188">
        <v>1380.48</v>
      </c>
      <c r="I13" s="188">
        <v>1380.48</v>
      </c>
      <c r="J13" s="172">
        <f t="shared" si="0"/>
        <v>0</v>
      </c>
      <c r="K13" s="189">
        <v>0</v>
      </c>
      <c r="L13" s="174"/>
      <c r="M13" s="179"/>
      <c r="N13" s="179"/>
      <c r="O13" s="185"/>
      <c r="P13" s="124"/>
    </row>
    <row r="14" spans="1:16" ht="12.75">
      <c r="A14" s="186" t="s">
        <v>103</v>
      </c>
      <c r="B14" s="187" t="s">
        <v>36</v>
      </c>
      <c r="C14" s="187"/>
      <c r="D14" s="197"/>
      <c r="E14" s="187"/>
      <c r="F14" s="198"/>
      <c r="G14" s="199"/>
      <c r="H14" s="188">
        <v>4799.02</v>
      </c>
      <c r="I14" s="188">
        <v>4799.02</v>
      </c>
      <c r="J14" s="172">
        <f t="shared" si="0"/>
        <v>0</v>
      </c>
      <c r="K14" s="189">
        <v>0</v>
      </c>
      <c r="L14" s="174"/>
      <c r="M14" s="179"/>
      <c r="N14" s="179"/>
      <c r="O14" s="185"/>
      <c r="P14" s="124"/>
    </row>
    <row r="15" spans="1:16" ht="12.75">
      <c r="A15" s="186" t="s">
        <v>104</v>
      </c>
      <c r="B15" s="187" t="s">
        <v>36</v>
      </c>
      <c r="C15" s="187"/>
      <c r="D15" s="197"/>
      <c r="E15" s="187"/>
      <c r="F15" s="198"/>
      <c r="G15" s="199"/>
      <c r="H15" s="188">
        <v>375.9</v>
      </c>
      <c r="I15" s="188">
        <v>375.9</v>
      </c>
      <c r="J15" s="172">
        <f t="shared" si="0"/>
        <v>0</v>
      </c>
      <c r="K15" s="189">
        <v>0</v>
      </c>
      <c r="L15" s="174"/>
      <c r="M15" s="179"/>
      <c r="N15" s="179"/>
      <c r="O15" s="185"/>
      <c r="P15" s="124"/>
    </row>
    <row r="16" spans="1:16" ht="12.75">
      <c r="A16" s="186" t="s">
        <v>105</v>
      </c>
      <c r="B16" s="187" t="s">
        <v>36</v>
      </c>
      <c r="C16" s="187"/>
      <c r="D16" s="197"/>
      <c r="E16" s="187"/>
      <c r="F16" s="198"/>
      <c r="G16" s="199"/>
      <c r="H16" s="188">
        <v>1389.19</v>
      </c>
      <c r="I16" s="188">
        <v>1389.19</v>
      </c>
      <c r="J16" s="172">
        <f t="shared" si="0"/>
        <v>0</v>
      </c>
      <c r="K16" s="189">
        <v>0</v>
      </c>
      <c r="L16" s="174"/>
      <c r="M16" s="179"/>
      <c r="N16" s="179"/>
      <c r="O16" s="185"/>
      <c r="P16" s="124"/>
    </row>
    <row r="17" spans="1:16" ht="12.75">
      <c r="A17" s="186" t="s">
        <v>106</v>
      </c>
      <c r="B17" s="187" t="s">
        <v>36</v>
      </c>
      <c r="C17" s="187"/>
      <c r="D17" s="197"/>
      <c r="E17" s="187"/>
      <c r="F17" s="198"/>
      <c r="G17" s="199"/>
      <c r="H17" s="188">
        <v>3662.4100000000003</v>
      </c>
      <c r="I17" s="188">
        <v>3662.4100000000003</v>
      </c>
      <c r="J17" s="172">
        <f t="shared" si="0"/>
        <v>0</v>
      </c>
      <c r="K17" s="189">
        <v>0</v>
      </c>
      <c r="L17" s="174"/>
      <c r="M17" s="179"/>
      <c r="N17" s="179"/>
      <c r="O17" s="185"/>
      <c r="P17" s="124"/>
    </row>
    <row r="18" spans="1:16" ht="12.75">
      <c r="A18" s="186" t="s">
        <v>107</v>
      </c>
      <c r="B18" s="187" t="s">
        <v>36</v>
      </c>
      <c r="C18" s="187"/>
      <c r="D18" s="197"/>
      <c r="E18" s="187"/>
      <c r="F18" s="198"/>
      <c r="G18" s="199"/>
      <c r="H18" s="188">
        <v>626.5</v>
      </c>
      <c r="I18" s="188">
        <v>626.5</v>
      </c>
      <c r="J18" s="172">
        <f t="shared" si="0"/>
        <v>0</v>
      </c>
      <c r="K18" s="189">
        <v>0</v>
      </c>
      <c r="L18" s="174"/>
      <c r="M18" s="179"/>
      <c r="N18" s="179"/>
      <c r="O18" s="185"/>
      <c r="P18" s="124"/>
    </row>
    <row r="19" spans="1:16" ht="12.75">
      <c r="A19" s="186" t="s">
        <v>108</v>
      </c>
      <c r="B19" s="187" t="s">
        <v>36</v>
      </c>
      <c r="C19" s="187"/>
      <c r="D19" s="197"/>
      <c r="E19" s="187"/>
      <c r="F19" s="198"/>
      <c r="G19" s="199"/>
      <c r="H19" s="188">
        <v>11871.26</v>
      </c>
      <c r="I19" s="188">
        <v>11871.26</v>
      </c>
      <c r="J19" s="172">
        <f t="shared" si="0"/>
        <v>0</v>
      </c>
      <c r="K19" s="189">
        <v>0</v>
      </c>
      <c r="L19" s="174"/>
      <c r="M19" s="179"/>
      <c r="N19" s="179"/>
      <c r="O19" s="185"/>
      <c r="P19" s="124"/>
    </row>
    <row r="20" spans="1:16" ht="12.75">
      <c r="A20" s="186" t="s">
        <v>109</v>
      </c>
      <c r="B20" s="187" t="s">
        <v>36</v>
      </c>
      <c r="C20" s="187"/>
      <c r="D20" s="197"/>
      <c r="E20" s="187"/>
      <c r="F20" s="198"/>
      <c r="G20" s="199"/>
      <c r="H20" s="188">
        <v>92076.4152</v>
      </c>
      <c r="I20" s="188">
        <v>92076.4152</v>
      </c>
      <c r="J20" s="172">
        <f t="shared" si="0"/>
        <v>0</v>
      </c>
      <c r="K20" s="189">
        <v>0</v>
      </c>
      <c r="L20" s="174"/>
      <c r="M20" s="179"/>
      <c r="N20" s="179"/>
      <c r="O20" s="185"/>
      <c r="P20" s="124"/>
    </row>
    <row r="21" spans="1:16" ht="12.75">
      <c r="A21" s="186" t="s">
        <v>110</v>
      </c>
      <c r="B21" s="187" t="s">
        <v>36</v>
      </c>
      <c r="C21" s="187"/>
      <c r="D21" s="197"/>
      <c r="E21" s="187"/>
      <c r="F21" s="198"/>
      <c r="G21" s="199"/>
      <c r="H21" s="188">
        <v>107274.72780000001</v>
      </c>
      <c r="I21" s="188">
        <v>107274.72780000001</v>
      </c>
      <c r="J21" s="172">
        <f t="shared" si="0"/>
        <v>0</v>
      </c>
      <c r="K21" s="189">
        <v>0</v>
      </c>
      <c r="L21" s="174"/>
      <c r="M21" s="179"/>
      <c r="N21" s="179"/>
      <c r="O21" s="185"/>
      <c r="P21" s="124"/>
    </row>
    <row r="22" spans="1:16" ht="12.75">
      <c r="A22" s="186" t="s">
        <v>111</v>
      </c>
      <c r="B22" s="187" t="s">
        <v>36</v>
      </c>
      <c r="C22" s="187"/>
      <c r="D22" s="197"/>
      <c r="E22" s="187"/>
      <c r="F22" s="198"/>
      <c r="G22" s="199"/>
      <c r="H22" s="188">
        <v>110261.931</v>
      </c>
      <c r="I22" s="188">
        <v>110261.931</v>
      </c>
      <c r="J22" s="172">
        <f t="shared" si="0"/>
        <v>0</v>
      </c>
      <c r="K22" s="189">
        <v>0</v>
      </c>
      <c r="L22" s="174"/>
      <c r="M22" s="179"/>
      <c r="N22" s="179"/>
      <c r="O22" s="185"/>
      <c r="P22" s="124"/>
    </row>
    <row r="23" spans="1:16" ht="12.75">
      <c r="A23" s="186" t="s">
        <v>112</v>
      </c>
      <c r="B23" s="187" t="s">
        <v>36</v>
      </c>
      <c r="C23" s="187"/>
      <c r="D23" s="197"/>
      <c r="E23" s="187"/>
      <c r="F23" s="198"/>
      <c r="G23" s="199"/>
      <c r="H23" s="188">
        <v>114410.56980000001</v>
      </c>
      <c r="I23" s="188">
        <v>114410.56980000001</v>
      </c>
      <c r="J23" s="172">
        <f t="shared" si="0"/>
        <v>0</v>
      </c>
      <c r="K23" s="189">
        <v>0</v>
      </c>
      <c r="L23" s="174"/>
      <c r="M23" s="179"/>
      <c r="N23" s="179"/>
      <c r="O23" s="185"/>
      <c r="P23" s="124"/>
    </row>
    <row r="24" spans="1:16" ht="12.75">
      <c r="A24" s="186" t="s">
        <v>113</v>
      </c>
      <c r="B24" s="187" t="s">
        <v>36</v>
      </c>
      <c r="C24" s="187"/>
      <c r="D24" s="197"/>
      <c r="E24" s="187"/>
      <c r="F24" s="198"/>
      <c r="G24" s="199"/>
      <c r="H24" s="188">
        <v>117909.76680000001</v>
      </c>
      <c r="I24" s="188">
        <v>117909.76680000001</v>
      </c>
      <c r="J24" s="172">
        <f t="shared" si="0"/>
        <v>0</v>
      </c>
      <c r="K24" s="189">
        <v>0</v>
      </c>
      <c r="L24" s="174"/>
      <c r="M24" s="179"/>
      <c r="N24" s="179"/>
      <c r="O24" s="185"/>
      <c r="P24" s="124"/>
    </row>
    <row r="25" spans="1:16" ht="12.75">
      <c r="A25" s="186" t="s">
        <v>114</v>
      </c>
      <c r="B25" s="187" t="s">
        <v>36</v>
      </c>
      <c r="C25" s="187"/>
      <c r="D25" s="197"/>
      <c r="E25" s="187"/>
      <c r="F25" s="187"/>
      <c r="G25" s="197"/>
      <c r="H25" s="188">
        <v>532.33</v>
      </c>
      <c r="I25" s="188">
        <v>560</v>
      </c>
      <c r="J25" s="172">
        <f t="shared" si="0"/>
        <v>-27.66999999999996</v>
      </c>
      <c r="K25" s="189">
        <v>0</v>
      </c>
      <c r="L25" s="174"/>
      <c r="M25" s="179"/>
      <c r="N25" s="179"/>
      <c r="O25" s="185"/>
      <c r="P25" s="124"/>
    </row>
    <row r="26" spans="1:16" ht="12.75">
      <c r="A26" s="186" t="s">
        <v>115</v>
      </c>
      <c r="B26" s="187" t="s">
        <v>36</v>
      </c>
      <c r="C26" s="187"/>
      <c r="D26" s="197"/>
      <c r="E26" s="187"/>
      <c r="F26" s="187"/>
      <c r="G26" s="197"/>
      <c r="H26" s="188">
        <v>4411.92</v>
      </c>
      <c r="I26" s="188">
        <v>4411.92</v>
      </c>
      <c r="J26" s="172">
        <f t="shared" si="0"/>
        <v>0</v>
      </c>
      <c r="K26" s="189">
        <v>0</v>
      </c>
      <c r="L26" s="174"/>
      <c r="M26" s="179"/>
      <c r="N26" s="179"/>
      <c r="O26" s="185"/>
      <c r="P26" s="124"/>
    </row>
    <row r="27" spans="1:16" ht="12.75">
      <c r="A27" s="186" t="s">
        <v>116</v>
      </c>
      <c r="B27" s="187" t="s">
        <v>36</v>
      </c>
      <c r="C27" s="187"/>
      <c r="D27" s="197"/>
      <c r="E27" s="187"/>
      <c r="F27" s="187"/>
      <c r="G27" s="197"/>
      <c r="H27" s="188">
        <v>7641.48</v>
      </c>
      <c r="I27" s="188">
        <v>7641.48</v>
      </c>
      <c r="J27" s="172">
        <f t="shared" si="0"/>
        <v>0</v>
      </c>
      <c r="K27" s="189">
        <v>0</v>
      </c>
      <c r="L27" s="174"/>
      <c r="M27" s="179"/>
      <c r="N27" s="179"/>
      <c r="O27" s="185"/>
      <c r="P27" s="124"/>
    </row>
    <row r="28" spans="1:16" ht="12.75">
      <c r="A28" s="186" t="s">
        <v>117</v>
      </c>
      <c r="B28" s="187" t="s">
        <v>36</v>
      </c>
      <c r="C28" s="187"/>
      <c r="D28" s="197"/>
      <c r="E28" s="187"/>
      <c r="F28" s="187"/>
      <c r="G28" s="197"/>
      <c r="H28" s="188">
        <v>4130.29</v>
      </c>
      <c r="I28" s="188">
        <v>4130.29</v>
      </c>
      <c r="J28" s="172">
        <f t="shared" si="0"/>
        <v>0</v>
      </c>
      <c r="K28" s="189">
        <v>0</v>
      </c>
      <c r="L28" s="174"/>
      <c r="M28" s="179"/>
      <c r="N28" s="179"/>
      <c r="O28" s="185"/>
      <c r="P28" s="124"/>
    </row>
    <row r="29" spans="1:16" ht="12.75">
      <c r="A29" s="186" t="s">
        <v>118</v>
      </c>
      <c r="B29" s="187" t="s">
        <v>36</v>
      </c>
      <c r="C29" s="187"/>
      <c r="D29" s="197"/>
      <c r="E29" s="187"/>
      <c r="F29" s="187"/>
      <c r="G29" s="197"/>
      <c r="H29" s="188">
        <v>1562.44</v>
      </c>
      <c r="I29" s="188">
        <v>1562.44</v>
      </c>
      <c r="J29" s="172">
        <f t="shared" si="0"/>
        <v>0</v>
      </c>
      <c r="K29" s="189">
        <v>0</v>
      </c>
      <c r="L29" s="174"/>
      <c r="M29" s="179"/>
      <c r="N29" s="179"/>
      <c r="O29" s="185"/>
      <c r="P29" s="124"/>
    </row>
    <row r="30" spans="1:16" ht="12.75">
      <c r="A30" s="186" t="s">
        <v>119</v>
      </c>
      <c r="B30" s="187" t="s">
        <v>36</v>
      </c>
      <c r="C30" s="187"/>
      <c r="D30" s="197"/>
      <c r="E30" s="187"/>
      <c r="F30" s="187"/>
      <c r="G30" s="197"/>
      <c r="H30" s="188">
        <v>978.32</v>
      </c>
      <c r="I30" s="188">
        <v>978.32</v>
      </c>
      <c r="J30" s="172">
        <f t="shared" si="0"/>
        <v>0</v>
      </c>
      <c r="K30" s="189">
        <v>0</v>
      </c>
      <c r="L30" s="174"/>
      <c r="M30" s="179"/>
      <c r="N30" s="179"/>
      <c r="O30" s="185"/>
      <c r="P30" s="124"/>
    </row>
    <row r="31" spans="1:16" ht="12.75">
      <c r="A31" s="186" t="s">
        <v>120</v>
      </c>
      <c r="B31" s="187" t="s">
        <v>36</v>
      </c>
      <c r="C31" s="187"/>
      <c r="D31" s="197"/>
      <c r="E31" s="187"/>
      <c r="F31" s="187"/>
      <c r="G31" s="197"/>
      <c r="H31" s="188">
        <v>851.49</v>
      </c>
      <c r="I31" s="188">
        <v>851.49</v>
      </c>
      <c r="J31" s="172">
        <f t="shared" si="0"/>
        <v>0</v>
      </c>
      <c r="K31" s="189">
        <v>0</v>
      </c>
      <c r="L31" s="174"/>
      <c r="M31" s="179"/>
      <c r="N31" s="179"/>
      <c r="O31" s="185"/>
      <c r="P31" s="124"/>
    </row>
    <row r="32" spans="1:16" ht="12.75">
      <c r="A32" s="186" t="s">
        <v>121</v>
      </c>
      <c r="B32" s="187" t="s">
        <v>36</v>
      </c>
      <c r="C32" s="187"/>
      <c r="D32" s="197"/>
      <c r="E32" s="187"/>
      <c r="F32" s="187"/>
      <c r="G32" s="197"/>
      <c r="H32" s="188">
        <v>1973.44</v>
      </c>
      <c r="I32" s="188">
        <v>1973.44</v>
      </c>
      <c r="J32" s="172">
        <f t="shared" si="0"/>
        <v>0</v>
      </c>
      <c r="K32" s="189">
        <v>0</v>
      </c>
      <c r="L32" s="174"/>
      <c r="M32" s="179"/>
      <c r="N32" s="179"/>
      <c r="O32" s="185"/>
      <c r="P32" s="124"/>
    </row>
    <row r="33" spans="1:16" ht="12.75">
      <c r="A33" s="186" t="s">
        <v>122</v>
      </c>
      <c r="B33" s="187" t="s">
        <v>36</v>
      </c>
      <c r="C33" s="187"/>
      <c r="D33" s="197"/>
      <c r="E33" s="187"/>
      <c r="F33" s="187"/>
      <c r="G33" s="197"/>
      <c r="H33" s="188">
        <v>1717.34</v>
      </c>
      <c r="I33" s="188">
        <v>1717.34</v>
      </c>
      <c r="J33" s="172">
        <f t="shared" si="0"/>
        <v>0</v>
      </c>
      <c r="K33" s="189">
        <v>0</v>
      </c>
      <c r="L33" s="174"/>
      <c r="M33" s="179"/>
      <c r="N33" s="179"/>
      <c r="O33" s="185"/>
      <c r="P33" s="124"/>
    </row>
    <row r="34" spans="1:16" ht="12.75">
      <c r="A34" s="186" t="s">
        <v>123</v>
      </c>
      <c r="B34" s="187" t="s">
        <v>36</v>
      </c>
      <c r="C34" s="187"/>
      <c r="D34" s="197"/>
      <c r="E34" s="187"/>
      <c r="F34" s="187"/>
      <c r="G34" s="197"/>
      <c r="H34" s="188">
        <v>459.55</v>
      </c>
      <c r="I34" s="188">
        <v>459.55</v>
      </c>
      <c r="J34" s="172">
        <f t="shared" si="0"/>
        <v>0</v>
      </c>
      <c r="K34" s="189">
        <v>0</v>
      </c>
      <c r="L34" s="174"/>
      <c r="M34" s="179"/>
      <c r="N34" s="179"/>
      <c r="O34" s="185"/>
      <c r="P34" s="124"/>
    </row>
    <row r="35" spans="1:16" ht="12.75">
      <c r="A35" s="186" t="s">
        <v>124</v>
      </c>
      <c r="B35" s="187" t="s">
        <v>36</v>
      </c>
      <c r="C35" s="187"/>
      <c r="D35" s="197"/>
      <c r="E35" s="187"/>
      <c r="F35" s="187"/>
      <c r="G35" s="197"/>
      <c r="H35" s="188">
        <v>2372.06</v>
      </c>
      <c r="I35" s="188">
        <v>2372.06</v>
      </c>
      <c r="J35" s="172">
        <f t="shared" si="0"/>
        <v>0</v>
      </c>
      <c r="K35" s="189">
        <v>0</v>
      </c>
      <c r="L35" s="174"/>
      <c r="M35" s="179"/>
      <c r="N35" s="179"/>
      <c r="O35" s="185"/>
      <c r="P35" s="124"/>
    </row>
    <row r="36" spans="1:16" ht="12.75">
      <c r="A36" s="186" t="s">
        <v>125</v>
      </c>
      <c r="B36" s="187" t="s">
        <v>36</v>
      </c>
      <c r="C36" s="187"/>
      <c r="D36" s="197"/>
      <c r="E36" s="187"/>
      <c r="F36" s="187"/>
      <c r="G36" s="197"/>
      <c r="H36" s="188">
        <v>1728.11</v>
      </c>
      <c r="I36" s="188">
        <v>1728.11</v>
      </c>
      <c r="J36" s="172">
        <f t="shared" si="0"/>
        <v>0</v>
      </c>
      <c r="K36" s="189">
        <v>0</v>
      </c>
      <c r="L36" s="174"/>
      <c r="M36" s="179"/>
      <c r="N36" s="179"/>
      <c r="O36" s="185"/>
      <c r="P36" s="124"/>
    </row>
    <row r="37" spans="1:16" ht="12.75">
      <c r="A37" s="186" t="s">
        <v>126</v>
      </c>
      <c r="B37" s="187" t="s">
        <v>36</v>
      </c>
      <c r="C37" s="187"/>
      <c r="D37" s="197"/>
      <c r="E37" s="187"/>
      <c r="F37" s="187"/>
      <c r="G37" s="197"/>
      <c r="H37" s="188">
        <v>3055.98</v>
      </c>
      <c r="I37" s="188">
        <v>3055.98</v>
      </c>
      <c r="J37" s="172">
        <f t="shared" si="0"/>
        <v>0</v>
      </c>
      <c r="K37" s="189">
        <v>0</v>
      </c>
      <c r="L37" s="174"/>
      <c r="M37" s="179"/>
      <c r="N37" s="179"/>
      <c r="O37" s="185"/>
      <c r="P37" s="124"/>
    </row>
    <row r="38" spans="1:16" ht="12.75">
      <c r="A38" s="186" t="s">
        <v>127</v>
      </c>
      <c r="B38" s="187" t="s">
        <v>36</v>
      </c>
      <c r="C38" s="187"/>
      <c r="D38" s="197"/>
      <c r="E38" s="187"/>
      <c r="F38" s="187"/>
      <c r="G38" s="197"/>
      <c r="H38" s="188">
        <v>2460.64</v>
      </c>
      <c r="I38" s="188">
        <v>2460.64</v>
      </c>
      <c r="J38" s="172">
        <f t="shared" si="0"/>
        <v>0</v>
      </c>
      <c r="K38" s="189">
        <v>0</v>
      </c>
      <c r="L38" s="174"/>
      <c r="M38" s="179"/>
      <c r="N38" s="179"/>
      <c r="O38" s="185"/>
      <c r="P38" s="124"/>
    </row>
    <row r="39" spans="1:16" ht="12.75">
      <c r="A39" s="186" t="s">
        <v>128</v>
      </c>
      <c r="B39" s="187" t="s">
        <v>36</v>
      </c>
      <c r="C39" s="187"/>
      <c r="D39" s="197"/>
      <c r="E39" s="187"/>
      <c r="F39" s="187"/>
      <c r="G39" s="197"/>
      <c r="H39" s="188">
        <v>6612.59</v>
      </c>
      <c r="I39" s="188">
        <v>6612.59</v>
      </c>
      <c r="J39" s="172">
        <f t="shared" si="0"/>
        <v>0</v>
      </c>
      <c r="K39" s="189">
        <v>0</v>
      </c>
      <c r="L39" s="174"/>
      <c r="M39" s="179"/>
      <c r="N39" s="179"/>
      <c r="O39" s="185"/>
      <c r="P39" s="124"/>
    </row>
    <row r="40" spans="1:16" ht="12.75">
      <c r="A40" s="186" t="s">
        <v>129</v>
      </c>
      <c r="B40" s="187" t="s">
        <v>36</v>
      </c>
      <c r="C40" s="187"/>
      <c r="D40" s="197"/>
      <c r="E40" s="187"/>
      <c r="F40" s="187"/>
      <c r="G40" s="197"/>
      <c r="H40" s="188">
        <v>1527.82</v>
      </c>
      <c r="I40" s="188">
        <v>1527.82</v>
      </c>
      <c r="J40" s="172">
        <f t="shared" si="0"/>
        <v>0</v>
      </c>
      <c r="K40" s="189">
        <v>0</v>
      </c>
      <c r="L40" s="174"/>
      <c r="M40" s="179"/>
      <c r="N40" s="179"/>
      <c r="O40" s="185"/>
      <c r="P40" s="124"/>
    </row>
    <row r="41" spans="1:16" ht="12.75">
      <c r="A41" s="186" t="s">
        <v>130</v>
      </c>
      <c r="B41" s="187" t="s">
        <v>36</v>
      </c>
      <c r="C41" s="187"/>
      <c r="D41" s="197"/>
      <c r="E41" s="187"/>
      <c r="F41" s="187"/>
      <c r="G41" s="197"/>
      <c r="H41" s="188">
        <v>7944.09</v>
      </c>
      <c r="I41" s="188">
        <v>7944.09</v>
      </c>
      <c r="J41" s="172">
        <f t="shared" si="0"/>
        <v>0</v>
      </c>
      <c r="K41" s="189">
        <v>0</v>
      </c>
      <c r="L41" s="174"/>
      <c r="M41" s="179"/>
      <c r="N41" s="179"/>
      <c r="O41" s="185"/>
      <c r="P41" s="124"/>
    </row>
    <row r="42" spans="1:16" ht="12.75">
      <c r="A42" s="186" t="s">
        <v>131</v>
      </c>
      <c r="B42" s="187" t="s">
        <v>36</v>
      </c>
      <c r="C42" s="187"/>
      <c r="D42" s="197"/>
      <c r="E42" s="187"/>
      <c r="F42" s="187"/>
      <c r="G42" s="197"/>
      <c r="H42" s="188">
        <v>1372.22</v>
      </c>
      <c r="I42" s="188">
        <v>1372.22</v>
      </c>
      <c r="J42" s="172">
        <f t="shared" si="0"/>
        <v>0</v>
      </c>
      <c r="K42" s="189">
        <v>0</v>
      </c>
      <c r="L42" s="174"/>
      <c r="M42" s="179"/>
      <c r="N42" s="179"/>
      <c r="O42" s="185"/>
      <c r="P42" s="124"/>
    </row>
    <row r="43" spans="1:16" ht="12.75">
      <c r="A43" s="186" t="s">
        <v>132</v>
      </c>
      <c r="B43" s="187" t="s">
        <v>36</v>
      </c>
      <c r="C43" s="187"/>
      <c r="D43" s="197"/>
      <c r="E43" s="187"/>
      <c r="F43" s="187"/>
      <c r="G43" s="197"/>
      <c r="H43" s="188">
        <v>2445.08</v>
      </c>
      <c r="I43" s="188">
        <v>2445.08</v>
      </c>
      <c r="J43" s="172">
        <f t="shared" si="0"/>
        <v>0</v>
      </c>
      <c r="K43" s="189">
        <v>0</v>
      </c>
      <c r="L43" s="174"/>
      <c r="M43" s="179"/>
      <c r="N43" s="179"/>
      <c r="O43" s="185"/>
      <c r="P43" s="124"/>
    </row>
    <row r="44" spans="1:16" ht="12.75">
      <c r="A44" s="186" t="s">
        <v>133</v>
      </c>
      <c r="B44" s="187" t="s">
        <v>36</v>
      </c>
      <c r="C44" s="187"/>
      <c r="D44" s="197"/>
      <c r="E44" s="187"/>
      <c r="F44" s="187"/>
      <c r="G44" s="197"/>
      <c r="H44" s="188">
        <v>4133.45</v>
      </c>
      <c r="I44" s="188">
        <v>4133.45</v>
      </c>
      <c r="J44" s="172">
        <f t="shared" si="0"/>
        <v>0</v>
      </c>
      <c r="K44" s="189">
        <v>0</v>
      </c>
      <c r="L44" s="174"/>
      <c r="M44" s="179"/>
      <c r="N44" s="179"/>
      <c r="O44" s="185"/>
      <c r="P44" s="124"/>
    </row>
    <row r="45" spans="1:16" ht="12.75">
      <c r="A45" s="186" t="s">
        <v>134</v>
      </c>
      <c r="B45" s="187" t="s">
        <v>36</v>
      </c>
      <c r="C45" s="187"/>
      <c r="D45" s="197"/>
      <c r="E45" s="187"/>
      <c r="F45" s="187"/>
      <c r="G45" s="197"/>
      <c r="H45" s="188">
        <v>1939.72</v>
      </c>
      <c r="I45" s="188">
        <v>1939.72</v>
      </c>
      <c r="J45" s="172">
        <f t="shared" si="0"/>
        <v>0</v>
      </c>
      <c r="K45" s="189">
        <v>0</v>
      </c>
      <c r="L45" s="174"/>
      <c r="M45" s="179"/>
      <c r="N45" s="179"/>
      <c r="O45" s="185"/>
      <c r="P45" s="124"/>
    </row>
    <row r="46" spans="1:16" ht="12.75">
      <c r="A46" s="186" t="s">
        <v>135</v>
      </c>
      <c r="B46" s="187" t="s">
        <v>36</v>
      </c>
      <c r="C46" s="187"/>
      <c r="D46" s="197"/>
      <c r="E46" s="187"/>
      <c r="F46" s="187"/>
      <c r="G46" s="197"/>
      <c r="H46" s="188">
        <v>1261.18</v>
      </c>
      <c r="I46" s="188">
        <v>1261.18</v>
      </c>
      <c r="J46" s="172">
        <f t="shared" si="0"/>
        <v>0</v>
      </c>
      <c r="K46" s="189">
        <v>0</v>
      </c>
      <c r="L46" s="174"/>
      <c r="M46" s="179"/>
      <c r="N46" s="179"/>
      <c r="O46" s="185"/>
      <c r="P46" s="124"/>
    </row>
    <row r="47" spans="1:16" ht="12.75">
      <c r="A47" s="186" t="s">
        <v>136</v>
      </c>
      <c r="B47" s="187" t="s">
        <v>36</v>
      </c>
      <c r="C47" s="187"/>
      <c r="D47" s="197"/>
      <c r="E47" s="187"/>
      <c r="F47" s="187"/>
      <c r="G47" s="197"/>
      <c r="H47" s="188">
        <v>712.02</v>
      </c>
      <c r="I47" s="188">
        <v>712.02</v>
      </c>
      <c r="J47" s="172">
        <f t="shared" si="0"/>
        <v>0</v>
      </c>
      <c r="K47" s="189">
        <v>0</v>
      </c>
      <c r="L47" s="174"/>
      <c r="M47" s="179"/>
      <c r="N47" s="179"/>
      <c r="O47" s="185"/>
      <c r="P47" s="124"/>
    </row>
    <row r="48" spans="1:16" ht="12.75">
      <c r="A48" s="186" t="s">
        <v>137</v>
      </c>
      <c r="B48" s="187" t="s">
        <v>36</v>
      </c>
      <c r="C48" s="187"/>
      <c r="D48" s="197"/>
      <c r="E48" s="187"/>
      <c r="F48" s="187"/>
      <c r="G48" s="197"/>
      <c r="H48" s="188">
        <v>3417.95</v>
      </c>
      <c r="I48" s="188">
        <v>3417.95</v>
      </c>
      <c r="J48" s="172">
        <f t="shared" si="0"/>
        <v>0</v>
      </c>
      <c r="K48" s="189">
        <v>0</v>
      </c>
      <c r="L48" s="174"/>
      <c r="M48" s="179"/>
      <c r="N48" s="179"/>
      <c r="O48" s="185"/>
      <c r="P48" s="124"/>
    </row>
    <row r="49" spans="1:16" ht="12.75">
      <c r="A49" s="186" t="s">
        <v>138</v>
      </c>
      <c r="B49" s="187" t="s">
        <v>36</v>
      </c>
      <c r="C49" s="187"/>
      <c r="D49" s="197"/>
      <c r="E49" s="187"/>
      <c r="F49" s="187"/>
      <c r="G49" s="197"/>
      <c r="H49" s="188">
        <v>934.85</v>
      </c>
      <c r="I49" s="188">
        <v>934.85</v>
      </c>
      <c r="J49" s="172">
        <f t="shared" si="0"/>
        <v>0</v>
      </c>
      <c r="K49" s="189">
        <v>0</v>
      </c>
      <c r="L49" s="174"/>
      <c r="M49" s="179"/>
      <c r="N49" s="179"/>
      <c r="O49" s="185"/>
      <c r="P49" s="124"/>
    </row>
    <row r="50" spans="1:16" ht="12.75">
      <c r="A50" s="186" t="s">
        <v>139</v>
      </c>
      <c r="B50" s="187" t="s">
        <v>36</v>
      </c>
      <c r="C50" s="187"/>
      <c r="D50" s="197"/>
      <c r="E50" s="187"/>
      <c r="F50" s="187"/>
      <c r="G50" s="197"/>
      <c r="H50" s="188">
        <v>453.16</v>
      </c>
      <c r="I50" s="188">
        <v>453.16</v>
      </c>
      <c r="J50" s="172">
        <f t="shared" si="0"/>
        <v>0</v>
      </c>
      <c r="K50" s="189">
        <v>0</v>
      </c>
      <c r="L50" s="174"/>
      <c r="M50" s="179"/>
      <c r="N50" s="179"/>
      <c r="O50" s="185"/>
      <c r="P50" s="124"/>
    </row>
    <row r="51" spans="1:16" ht="12.75">
      <c r="A51" s="186" t="s">
        <v>140</v>
      </c>
      <c r="B51" s="187" t="s">
        <v>36</v>
      </c>
      <c r="C51" s="187"/>
      <c r="D51" s="197"/>
      <c r="E51" s="187"/>
      <c r="F51" s="187"/>
      <c r="G51" s="197"/>
      <c r="H51" s="188">
        <v>3040.53</v>
      </c>
      <c r="I51" s="188">
        <v>3040.53</v>
      </c>
      <c r="J51" s="172">
        <f t="shared" si="0"/>
        <v>0</v>
      </c>
      <c r="K51" s="189">
        <v>0</v>
      </c>
      <c r="L51" s="174"/>
      <c r="M51" s="179"/>
      <c r="N51" s="179"/>
      <c r="O51" s="185"/>
      <c r="P51" s="124"/>
    </row>
    <row r="52" spans="1:16" ht="12.75">
      <c r="A52" s="186" t="s">
        <v>141</v>
      </c>
      <c r="B52" s="187" t="s">
        <v>36</v>
      </c>
      <c r="C52" s="187"/>
      <c r="D52" s="197"/>
      <c r="E52" s="187"/>
      <c r="F52" s="187"/>
      <c r="G52" s="197"/>
      <c r="H52" s="188">
        <v>18862.11</v>
      </c>
      <c r="I52" s="188">
        <v>18900</v>
      </c>
      <c r="J52" s="172">
        <f t="shared" si="0"/>
        <v>-37.88999999999942</v>
      </c>
      <c r="K52" s="189">
        <v>0</v>
      </c>
      <c r="L52" s="174"/>
      <c r="M52" s="179"/>
      <c r="N52" s="179"/>
      <c r="O52" s="185"/>
      <c r="P52" s="124"/>
    </row>
    <row r="53" spans="1:16" ht="12.75">
      <c r="A53" s="186" t="s">
        <v>142</v>
      </c>
      <c r="B53" s="187" t="s">
        <v>36</v>
      </c>
      <c r="C53" s="187"/>
      <c r="D53" s="197"/>
      <c r="E53" s="187"/>
      <c r="F53" s="187"/>
      <c r="G53" s="197"/>
      <c r="H53" s="188">
        <v>19218.07</v>
      </c>
      <c r="I53" s="188">
        <v>19218.07</v>
      </c>
      <c r="J53" s="172">
        <f t="shared" si="0"/>
        <v>0</v>
      </c>
      <c r="K53" s="189">
        <v>0</v>
      </c>
      <c r="L53" s="174"/>
      <c r="M53" s="179"/>
      <c r="N53" s="179"/>
      <c r="O53" s="185"/>
      <c r="P53" s="124"/>
    </row>
    <row r="54" spans="1:16" ht="12.75">
      <c r="A54" s="186" t="s">
        <v>143</v>
      </c>
      <c r="B54" s="187" t="s">
        <v>36</v>
      </c>
      <c r="C54" s="187"/>
      <c r="D54" s="197"/>
      <c r="E54" s="187"/>
      <c r="F54" s="187"/>
      <c r="G54" s="197"/>
      <c r="H54" s="188">
        <v>1104.75</v>
      </c>
      <c r="I54" s="188">
        <v>1104.75</v>
      </c>
      <c r="J54" s="172">
        <f t="shared" si="0"/>
        <v>0</v>
      </c>
      <c r="K54" s="189">
        <v>0</v>
      </c>
      <c r="L54" s="174"/>
      <c r="M54" s="179"/>
      <c r="N54" s="179"/>
      <c r="O54" s="185"/>
      <c r="P54" s="124"/>
    </row>
    <row r="55" spans="1:16" ht="12.75">
      <c r="A55" s="186" t="s">
        <v>144</v>
      </c>
      <c r="B55" s="187" t="s">
        <v>36</v>
      </c>
      <c r="C55" s="187"/>
      <c r="D55" s="197"/>
      <c r="E55" s="187"/>
      <c r="F55" s="187"/>
      <c r="G55" s="197"/>
      <c r="H55" s="188">
        <v>1476.02</v>
      </c>
      <c r="I55" s="188">
        <v>1476.02</v>
      </c>
      <c r="J55" s="172">
        <f t="shared" si="0"/>
        <v>0</v>
      </c>
      <c r="K55" s="189">
        <v>0</v>
      </c>
      <c r="L55" s="174"/>
      <c r="M55" s="179"/>
      <c r="N55" s="179"/>
      <c r="O55" s="185"/>
      <c r="P55" s="124"/>
    </row>
    <row r="56" spans="1:16" ht="12.75">
      <c r="A56" s="186" t="s">
        <v>145</v>
      </c>
      <c r="B56" s="187" t="s">
        <v>51</v>
      </c>
      <c r="C56" s="187"/>
      <c r="D56" s="197">
        <v>1</v>
      </c>
      <c r="E56" s="187"/>
      <c r="F56" s="187"/>
      <c r="G56" s="197">
        <v>1</v>
      </c>
      <c r="H56" s="188">
        <v>32346.29</v>
      </c>
      <c r="I56" s="188">
        <v>32008.13</v>
      </c>
      <c r="J56" s="172">
        <f t="shared" si="0"/>
        <v>338.15999999999985</v>
      </c>
      <c r="K56" s="189">
        <v>0</v>
      </c>
      <c r="L56" s="174"/>
      <c r="M56" s="179"/>
      <c r="N56" s="179"/>
      <c r="O56" s="185"/>
      <c r="P56" s="124"/>
    </row>
    <row r="57" spans="1:16" ht="12.75">
      <c r="A57" s="186" t="s">
        <v>146</v>
      </c>
      <c r="B57" s="187" t="s">
        <v>36</v>
      </c>
      <c r="C57" s="187"/>
      <c r="D57" s="197"/>
      <c r="E57" s="187"/>
      <c r="F57" s="187"/>
      <c r="G57" s="197"/>
      <c r="H57" s="188">
        <v>516.45</v>
      </c>
      <c r="I57" s="188">
        <v>516.45</v>
      </c>
      <c r="J57" s="172">
        <f t="shared" si="0"/>
        <v>0</v>
      </c>
      <c r="K57" s="189">
        <v>0</v>
      </c>
      <c r="L57" s="174"/>
      <c r="M57" s="179"/>
      <c r="N57" s="179"/>
      <c r="O57" s="185"/>
      <c r="P57" s="124"/>
    </row>
    <row r="58" spans="1:16" ht="12.75">
      <c r="A58" s="186" t="s">
        <v>147</v>
      </c>
      <c r="B58" s="187" t="s">
        <v>36</v>
      </c>
      <c r="C58" s="187"/>
      <c r="D58" s="197"/>
      <c r="E58" s="187"/>
      <c r="F58" s="187"/>
      <c r="G58" s="197"/>
      <c r="H58" s="188">
        <v>3189.44</v>
      </c>
      <c r="I58" s="188">
        <v>3189.44</v>
      </c>
      <c r="J58" s="172">
        <f t="shared" si="0"/>
        <v>0</v>
      </c>
      <c r="K58" s="189">
        <v>0</v>
      </c>
      <c r="L58" s="174"/>
      <c r="M58" s="179"/>
      <c r="N58" s="179"/>
      <c r="O58" s="185"/>
      <c r="P58" s="124"/>
    </row>
    <row r="59" spans="1:16" ht="12.75">
      <c r="A59" s="186" t="s">
        <v>148</v>
      </c>
      <c r="B59" s="187" t="s">
        <v>36</v>
      </c>
      <c r="C59" s="187"/>
      <c r="D59" s="197"/>
      <c r="E59" s="187"/>
      <c r="F59" s="187"/>
      <c r="G59" s="197"/>
      <c r="H59" s="188">
        <v>533.96</v>
      </c>
      <c r="I59" s="188">
        <v>533.96</v>
      </c>
      <c r="J59" s="172">
        <f t="shared" si="0"/>
        <v>0</v>
      </c>
      <c r="K59" s="189">
        <v>0</v>
      </c>
      <c r="L59" s="174"/>
      <c r="M59" s="179"/>
      <c r="N59" s="179"/>
      <c r="O59" s="185"/>
      <c r="P59" s="124"/>
    </row>
    <row r="60" spans="1:16" ht="12.75">
      <c r="A60" s="186" t="s">
        <v>149</v>
      </c>
      <c r="B60" s="187" t="s">
        <v>51</v>
      </c>
      <c r="C60" s="187"/>
      <c r="D60" s="197">
        <v>1</v>
      </c>
      <c r="E60" s="187"/>
      <c r="F60" s="187"/>
      <c r="G60" s="197">
        <v>1</v>
      </c>
      <c r="H60" s="188">
        <v>1381.38</v>
      </c>
      <c r="I60" s="188">
        <v>1377.72</v>
      </c>
      <c r="J60" s="172">
        <f t="shared" si="0"/>
        <v>3.660000000000082</v>
      </c>
      <c r="K60" s="189">
        <v>0</v>
      </c>
      <c r="L60" s="174"/>
      <c r="M60" s="179"/>
      <c r="N60" s="179"/>
      <c r="O60" s="185"/>
      <c r="P60" s="124"/>
    </row>
    <row r="61" spans="1:16" ht="12.75">
      <c r="A61" s="186" t="s">
        <v>150</v>
      </c>
      <c r="B61" s="187" t="s">
        <v>36</v>
      </c>
      <c r="C61" s="187"/>
      <c r="D61" s="197"/>
      <c r="E61" s="187"/>
      <c r="F61" s="187"/>
      <c r="G61" s="197"/>
      <c r="H61" s="188">
        <v>1747.18</v>
      </c>
      <c r="I61" s="188">
        <v>1747.18</v>
      </c>
      <c r="J61" s="172">
        <f t="shared" si="0"/>
        <v>0</v>
      </c>
      <c r="K61" s="189">
        <v>0</v>
      </c>
      <c r="L61" s="174"/>
      <c r="M61" s="179"/>
      <c r="N61" s="179"/>
      <c r="O61" s="185"/>
      <c r="P61" s="124"/>
    </row>
    <row r="62" spans="1:16" ht="12.75">
      <c r="A62" s="186" t="s">
        <v>151</v>
      </c>
      <c r="B62" s="187" t="s">
        <v>36</v>
      </c>
      <c r="C62" s="187"/>
      <c r="D62" s="197"/>
      <c r="E62" s="187"/>
      <c r="F62" s="187"/>
      <c r="G62" s="197"/>
      <c r="H62" s="188">
        <v>2490.47</v>
      </c>
      <c r="I62" s="188">
        <v>2490.47</v>
      </c>
      <c r="J62" s="172">
        <f t="shared" si="0"/>
        <v>0</v>
      </c>
      <c r="K62" s="189">
        <v>0</v>
      </c>
      <c r="L62" s="174"/>
      <c r="M62" s="179"/>
      <c r="N62" s="179"/>
      <c r="O62" s="185"/>
      <c r="P62" s="124"/>
    </row>
    <row r="63" spans="1:16" ht="12.75">
      <c r="A63" s="186" t="s">
        <v>152</v>
      </c>
      <c r="B63" s="187" t="s">
        <v>36</v>
      </c>
      <c r="C63" s="187"/>
      <c r="D63" s="197"/>
      <c r="E63" s="187"/>
      <c r="F63" s="187"/>
      <c r="G63" s="197"/>
      <c r="H63" s="188">
        <v>3053.15</v>
      </c>
      <c r="I63" s="188">
        <v>3053.15</v>
      </c>
      <c r="J63" s="172">
        <f t="shared" si="0"/>
        <v>0</v>
      </c>
      <c r="K63" s="189">
        <v>0</v>
      </c>
      <c r="L63" s="174"/>
      <c r="M63" s="179"/>
      <c r="N63" s="179"/>
      <c r="O63" s="185"/>
      <c r="P63" s="124"/>
    </row>
    <row r="64" spans="1:16" ht="12.75">
      <c r="A64" s="186" t="s">
        <v>153</v>
      </c>
      <c r="B64" s="187" t="s">
        <v>36</v>
      </c>
      <c r="C64" s="187"/>
      <c r="D64" s="197"/>
      <c r="E64" s="187"/>
      <c r="F64" s="187"/>
      <c r="G64" s="197"/>
      <c r="H64" s="188">
        <v>1974.4</v>
      </c>
      <c r="I64" s="188">
        <v>1974.4</v>
      </c>
      <c r="J64" s="172">
        <f t="shared" si="0"/>
        <v>0</v>
      </c>
      <c r="K64" s="189">
        <v>0</v>
      </c>
      <c r="L64" s="174"/>
      <c r="M64" s="179"/>
      <c r="N64" s="179"/>
      <c r="O64" s="185"/>
      <c r="P64" s="124"/>
    </row>
    <row r="65" spans="1:16" ht="12.75">
      <c r="A65" s="186" t="s">
        <v>154</v>
      </c>
      <c r="B65" s="187" t="s">
        <v>51</v>
      </c>
      <c r="C65" s="187"/>
      <c r="D65" s="197">
        <v>1</v>
      </c>
      <c r="E65" s="187"/>
      <c r="F65" s="187"/>
      <c r="G65" s="197">
        <v>1</v>
      </c>
      <c r="H65" s="188">
        <v>1795.95</v>
      </c>
      <c r="I65" s="188">
        <v>1792.99</v>
      </c>
      <c r="J65" s="172">
        <f t="shared" si="0"/>
        <v>2.9600000000000364</v>
      </c>
      <c r="K65" s="189">
        <v>0</v>
      </c>
      <c r="L65" s="174"/>
      <c r="M65" s="179"/>
      <c r="N65" s="179"/>
      <c r="O65" s="185"/>
      <c r="P65" s="124"/>
    </row>
    <row r="66" spans="1:16" ht="12.75">
      <c r="A66" s="186" t="s">
        <v>155</v>
      </c>
      <c r="B66" s="187" t="s">
        <v>36</v>
      </c>
      <c r="C66" s="187"/>
      <c r="D66" s="197"/>
      <c r="E66" s="187"/>
      <c r="F66" s="187"/>
      <c r="G66" s="197"/>
      <c r="H66" s="188">
        <v>4190.4</v>
      </c>
      <c r="I66" s="188">
        <v>4190.4</v>
      </c>
      <c r="J66" s="172">
        <f t="shared" si="0"/>
        <v>0</v>
      </c>
      <c r="K66" s="189">
        <v>0</v>
      </c>
      <c r="L66" s="174"/>
      <c r="M66" s="179"/>
      <c r="N66" s="179"/>
      <c r="O66" s="185"/>
      <c r="P66" s="124"/>
    </row>
    <row r="67" spans="1:16" ht="12.75">
      <c r="A67" s="186" t="s">
        <v>156</v>
      </c>
      <c r="B67" s="187" t="s">
        <v>51</v>
      </c>
      <c r="C67" s="187"/>
      <c r="D67" s="197">
        <v>1</v>
      </c>
      <c r="E67" s="187"/>
      <c r="F67" s="187"/>
      <c r="G67" s="197">
        <v>1</v>
      </c>
      <c r="H67" s="188">
        <v>2184.94</v>
      </c>
      <c r="I67" s="188">
        <v>2124.53</v>
      </c>
      <c r="J67" s="172">
        <f t="shared" si="0"/>
        <v>60.409999999999854</v>
      </c>
      <c r="K67" s="189">
        <v>0</v>
      </c>
      <c r="L67" s="174"/>
      <c r="M67" s="179"/>
      <c r="N67" s="179"/>
      <c r="O67" s="185"/>
      <c r="P67" s="124"/>
    </row>
    <row r="68" spans="1:16" ht="12.75">
      <c r="A68" s="186" t="s">
        <v>157</v>
      </c>
      <c r="B68" s="187" t="s">
        <v>36</v>
      </c>
      <c r="C68" s="187"/>
      <c r="D68" s="197"/>
      <c r="E68" s="187"/>
      <c r="F68" s="187"/>
      <c r="G68" s="197"/>
      <c r="H68" s="188">
        <v>3972.05</v>
      </c>
      <c r="I68" s="188">
        <v>3972.05</v>
      </c>
      <c r="J68" s="172">
        <f t="shared" si="0"/>
        <v>0</v>
      </c>
      <c r="K68" s="189">
        <v>0</v>
      </c>
      <c r="L68" s="174"/>
      <c r="M68" s="179"/>
      <c r="N68" s="179"/>
      <c r="O68" s="185"/>
      <c r="P68" s="124"/>
    </row>
    <row r="69" spans="1:16" ht="12.75">
      <c r="A69" s="186" t="s">
        <v>158</v>
      </c>
      <c r="B69" s="187" t="s">
        <v>36</v>
      </c>
      <c r="C69" s="187"/>
      <c r="D69" s="197"/>
      <c r="E69" s="187"/>
      <c r="F69" s="187"/>
      <c r="G69" s="197"/>
      <c r="H69" s="188">
        <v>1997.63</v>
      </c>
      <c r="I69" s="188">
        <v>1997.63</v>
      </c>
      <c r="J69" s="172">
        <f t="shared" si="0"/>
        <v>0</v>
      </c>
      <c r="K69" s="189">
        <v>0</v>
      </c>
      <c r="L69" s="174"/>
      <c r="M69" s="179"/>
      <c r="N69" s="179"/>
      <c r="O69" s="185"/>
      <c r="P69" s="124"/>
    </row>
    <row r="70" spans="1:16" ht="12.75">
      <c r="A70" s="186" t="s">
        <v>159</v>
      </c>
      <c r="B70" s="187" t="s">
        <v>51</v>
      </c>
      <c r="C70" s="187"/>
      <c r="D70" s="197">
        <v>1</v>
      </c>
      <c r="E70" s="187"/>
      <c r="F70" s="187"/>
      <c r="G70" s="197">
        <v>1</v>
      </c>
      <c r="H70" s="188">
        <v>1797.97</v>
      </c>
      <c r="I70" s="188">
        <v>1794.87</v>
      </c>
      <c r="J70" s="172">
        <f t="shared" si="0"/>
        <v>3.1000000000001364</v>
      </c>
      <c r="K70" s="189">
        <v>0</v>
      </c>
      <c r="L70" s="174"/>
      <c r="M70" s="179"/>
      <c r="N70" s="179"/>
      <c r="O70" s="185"/>
      <c r="P70" s="124"/>
    </row>
    <row r="71" spans="1:16" ht="12.75">
      <c r="A71" s="186" t="s">
        <v>160</v>
      </c>
      <c r="B71" s="187" t="s">
        <v>36</v>
      </c>
      <c r="C71" s="187"/>
      <c r="D71" s="197"/>
      <c r="E71" s="187"/>
      <c r="F71" s="187"/>
      <c r="G71" s="197"/>
      <c r="H71" s="188">
        <v>2148.58</v>
      </c>
      <c r="I71" s="188">
        <v>2148.58</v>
      </c>
      <c r="J71" s="172">
        <f t="shared" si="0"/>
        <v>0</v>
      </c>
      <c r="K71" s="189">
        <v>0</v>
      </c>
      <c r="L71" s="174"/>
      <c r="M71" s="179"/>
      <c r="N71" s="179"/>
      <c r="O71" s="185"/>
      <c r="P71" s="124"/>
    </row>
    <row r="72" spans="1:16" ht="12.75">
      <c r="A72" s="186" t="s">
        <v>161</v>
      </c>
      <c r="B72" s="187" t="s">
        <v>36</v>
      </c>
      <c r="C72" s="187"/>
      <c r="D72" s="197"/>
      <c r="E72" s="187"/>
      <c r="F72" s="187"/>
      <c r="G72" s="197"/>
      <c r="H72" s="188">
        <v>1183.13</v>
      </c>
      <c r="I72" s="188">
        <v>1183.13</v>
      </c>
      <c r="J72" s="172">
        <f t="shared" si="0"/>
        <v>0</v>
      </c>
      <c r="K72" s="189">
        <v>0</v>
      </c>
      <c r="L72" s="174"/>
      <c r="M72" s="179"/>
      <c r="N72" s="179"/>
      <c r="O72" s="185"/>
      <c r="P72" s="124"/>
    </row>
    <row r="73" spans="1:16" ht="12.75">
      <c r="A73" s="186" t="s">
        <v>162</v>
      </c>
      <c r="B73" s="187" t="s">
        <v>36</v>
      </c>
      <c r="C73" s="187"/>
      <c r="D73" s="197"/>
      <c r="E73" s="187"/>
      <c r="F73" s="187"/>
      <c r="G73" s="197"/>
      <c r="H73" s="188">
        <v>592.89</v>
      </c>
      <c r="I73" s="188">
        <v>592.89</v>
      </c>
      <c r="J73" s="172">
        <f aca="true" t="shared" si="1" ref="J73:J136">H73-I73</f>
        <v>0</v>
      </c>
      <c r="K73" s="189">
        <v>0</v>
      </c>
      <c r="L73" s="174"/>
      <c r="M73" s="179"/>
      <c r="N73" s="179"/>
      <c r="O73" s="185"/>
      <c r="P73" s="124"/>
    </row>
    <row r="74" spans="1:16" ht="12.75">
      <c r="A74" s="186" t="s">
        <v>163</v>
      </c>
      <c r="B74" s="187" t="s">
        <v>36</v>
      </c>
      <c r="C74" s="187"/>
      <c r="D74" s="197"/>
      <c r="E74" s="187"/>
      <c r="F74" s="187"/>
      <c r="G74" s="197"/>
      <c r="H74" s="188">
        <v>230.06</v>
      </c>
      <c r="I74" s="188">
        <v>230.06</v>
      </c>
      <c r="J74" s="172">
        <f t="shared" si="1"/>
        <v>0</v>
      </c>
      <c r="K74" s="189">
        <v>0</v>
      </c>
      <c r="L74" s="174"/>
      <c r="M74" s="179"/>
      <c r="N74" s="179"/>
      <c r="O74" s="185"/>
      <c r="P74" s="124"/>
    </row>
    <row r="75" spans="1:16" ht="12.75">
      <c r="A75" s="186" t="s">
        <v>164</v>
      </c>
      <c r="B75" s="187" t="s">
        <v>36</v>
      </c>
      <c r="C75" s="187"/>
      <c r="D75" s="197"/>
      <c r="E75" s="187"/>
      <c r="F75" s="187"/>
      <c r="G75" s="197"/>
      <c r="H75" s="188">
        <v>173</v>
      </c>
      <c r="I75" s="188">
        <v>173</v>
      </c>
      <c r="J75" s="172">
        <f t="shared" si="1"/>
        <v>0</v>
      </c>
      <c r="K75" s="189">
        <v>0</v>
      </c>
      <c r="L75" s="174"/>
      <c r="M75" s="179"/>
      <c r="N75" s="179"/>
      <c r="O75" s="185"/>
      <c r="P75" s="124"/>
    </row>
    <row r="76" spans="1:16" ht="12.75">
      <c r="A76" s="186" t="s">
        <v>165</v>
      </c>
      <c r="B76" s="187" t="s">
        <v>36</v>
      </c>
      <c r="C76" s="187"/>
      <c r="D76" s="197"/>
      <c r="E76" s="187"/>
      <c r="F76" s="187"/>
      <c r="G76" s="197"/>
      <c r="H76" s="188">
        <v>271.84</v>
      </c>
      <c r="I76" s="188">
        <v>271.84</v>
      </c>
      <c r="J76" s="172">
        <f t="shared" si="1"/>
        <v>0</v>
      </c>
      <c r="K76" s="189">
        <v>0</v>
      </c>
      <c r="L76" s="174"/>
      <c r="M76" s="179"/>
      <c r="N76" s="179"/>
      <c r="O76" s="185"/>
      <c r="P76" s="124"/>
    </row>
    <row r="77" spans="1:16" ht="12.75">
      <c r="A77" s="186" t="s">
        <v>166</v>
      </c>
      <c r="B77" s="187" t="s">
        <v>36</v>
      </c>
      <c r="C77" s="187"/>
      <c r="D77" s="197"/>
      <c r="E77" s="187"/>
      <c r="F77" s="187"/>
      <c r="G77" s="197"/>
      <c r="H77" s="188">
        <v>421.87</v>
      </c>
      <c r="I77" s="188">
        <v>421.87</v>
      </c>
      <c r="J77" s="172">
        <f t="shared" si="1"/>
        <v>0</v>
      </c>
      <c r="K77" s="189">
        <v>0</v>
      </c>
      <c r="L77" s="174"/>
      <c r="M77" s="179"/>
      <c r="N77" s="179"/>
      <c r="O77" s="185"/>
      <c r="P77" s="124"/>
    </row>
    <row r="78" spans="1:16" ht="12.75">
      <c r="A78" s="186" t="s">
        <v>167</v>
      </c>
      <c r="B78" s="187" t="s">
        <v>36</v>
      </c>
      <c r="C78" s="187"/>
      <c r="D78" s="197"/>
      <c r="E78" s="187"/>
      <c r="F78" s="187"/>
      <c r="G78" s="197"/>
      <c r="H78" s="188">
        <v>700.32</v>
      </c>
      <c r="I78" s="188">
        <v>700.32</v>
      </c>
      <c r="J78" s="172">
        <f t="shared" si="1"/>
        <v>0</v>
      </c>
      <c r="K78" s="189">
        <v>0</v>
      </c>
      <c r="L78" s="174"/>
      <c r="M78" s="179"/>
      <c r="N78" s="179"/>
      <c r="O78" s="185"/>
      <c r="P78" s="124"/>
    </row>
    <row r="79" spans="1:16" ht="12.75">
      <c r="A79" s="186" t="s">
        <v>168</v>
      </c>
      <c r="B79" s="187" t="s">
        <v>36</v>
      </c>
      <c r="C79" s="187"/>
      <c r="D79" s="197"/>
      <c r="E79" s="187"/>
      <c r="F79" s="187"/>
      <c r="G79" s="197"/>
      <c r="H79" s="188">
        <v>894.72</v>
      </c>
      <c r="I79" s="188">
        <v>894.72</v>
      </c>
      <c r="J79" s="172">
        <f t="shared" si="1"/>
        <v>0</v>
      </c>
      <c r="K79" s="189">
        <v>0</v>
      </c>
      <c r="L79" s="174"/>
      <c r="M79" s="179"/>
      <c r="N79" s="179"/>
      <c r="O79" s="185"/>
      <c r="P79" s="124"/>
    </row>
    <row r="80" spans="1:16" ht="12.75">
      <c r="A80" s="186" t="s">
        <v>169</v>
      </c>
      <c r="B80" s="187" t="s">
        <v>36</v>
      </c>
      <c r="C80" s="187"/>
      <c r="D80" s="197"/>
      <c r="E80" s="187"/>
      <c r="F80" s="187"/>
      <c r="G80" s="197"/>
      <c r="H80" s="188">
        <v>1282.35</v>
      </c>
      <c r="I80" s="188">
        <v>1282.35</v>
      </c>
      <c r="J80" s="172">
        <f t="shared" si="1"/>
        <v>0</v>
      </c>
      <c r="K80" s="189">
        <v>0</v>
      </c>
      <c r="L80" s="174"/>
      <c r="M80" s="179"/>
      <c r="N80" s="179"/>
      <c r="O80" s="185"/>
      <c r="P80" s="124"/>
    </row>
    <row r="81" spans="1:16" ht="12.75">
      <c r="A81" s="186" t="s">
        <v>170</v>
      </c>
      <c r="B81" s="187" t="s">
        <v>36</v>
      </c>
      <c r="C81" s="187"/>
      <c r="D81" s="197"/>
      <c r="E81" s="187"/>
      <c r="F81" s="187"/>
      <c r="G81" s="197"/>
      <c r="H81" s="188">
        <v>908.79</v>
      </c>
      <c r="I81" s="188">
        <v>908.79</v>
      </c>
      <c r="J81" s="172">
        <f t="shared" si="1"/>
        <v>0</v>
      </c>
      <c r="K81" s="189">
        <v>0</v>
      </c>
      <c r="L81" s="174"/>
      <c r="M81" s="179"/>
      <c r="N81" s="179"/>
      <c r="O81" s="185"/>
      <c r="P81" s="124"/>
    </row>
    <row r="82" spans="1:16" ht="12.75">
      <c r="A82" s="186" t="s">
        <v>171</v>
      </c>
      <c r="B82" s="187" t="s">
        <v>36</v>
      </c>
      <c r="C82" s="187"/>
      <c r="D82" s="197"/>
      <c r="E82" s="187"/>
      <c r="F82" s="187"/>
      <c r="G82" s="197"/>
      <c r="H82" s="188">
        <v>29468.3</v>
      </c>
      <c r="I82" s="188">
        <v>29468.3</v>
      </c>
      <c r="J82" s="172">
        <f t="shared" si="1"/>
        <v>0</v>
      </c>
      <c r="K82" s="189">
        <v>1</v>
      </c>
      <c r="L82" s="174"/>
      <c r="M82" s="179"/>
      <c r="N82" s="179"/>
      <c r="O82" s="185"/>
      <c r="P82" s="124"/>
    </row>
    <row r="83" spans="1:16" ht="12.75">
      <c r="A83" s="186" t="s">
        <v>172</v>
      </c>
      <c r="B83" s="187" t="s">
        <v>36</v>
      </c>
      <c r="C83" s="187"/>
      <c r="D83" s="197"/>
      <c r="E83" s="187"/>
      <c r="F83" s="187"/>
      <c r="G83" s="197"/>
      <c r="H83" s="188">
        <v>587134.9</v>
      </c>
      <c r="I83" s="188">
        <v>587134.9</v>
      </c>
      <c r="J83" s="172">
        <f t="shared" si="1"/>
        <v>0</v>
      </c>
      <c r="K83" s="189">
        <v>2</v>
      </c>
      <c r="L83" s="174"/>
      <c r="M83" s="179"/>
      <c r="N83" s="179"/>
      <c r="O83" s="185"/>
      <c r="P83" s="124"/>
    </row>
    <row r="84" spans="1:16" ht="12.75">
      <c r="A84" s="186" t="s">
        <v>173</v>
      </c>
      <c r="B84" s="187" t="s">
        <v>36</v>
      </c>
      <c r="C84" s="187"/>
      <c r="D84" s="197"/>
      <c r="E84" s="187"/>
      <c r="F84" s="187"/>
      <c r="G84" s="197"/>
      <c r="H84" s="188">
        <v>942578.56</v>
      </c>
      <c r="I84" s="188">
        <v>942578.56</v>
      </c>
      <c r="J84" s="172">
        <f t="shared" si="1"/>
        <v>0</v>
      </c>
      <c r="K84" s="189">
        <v>3</v>
      </c>
      <c r="L84" s="174"/>
      <c r="M84" s="179"/>
      <c r="N84" s="179"/>
      <c r="O84" s="185"/>
      <c r="P84" s="124"/>
    </row>
    <row r="85" spans="1:16" ht="12.75">
      <c r="A85" s="186" t="s">
        <v>174</v>
      </c>
      <c r="B85" s="187" t="s">
        <v>36</v>
      </c>
      <c r="C85" s="187"/>
      <c r="D85" s="197"/>
      <c r="E85" s="187"/>
      <c r="F85" s="187"/>
      <c r="G85" s="197"/>
      <c r="H85" s="188">
        <v>220863.72</v>
      </c>
      <c r="I85" s="188">
        <v>220863.72</v>
      </c>
      <c r="J85" s="172">
        <f t="shared" si="1"/>
        <v>0</v>
      </c>
      <c r="K85" s="189">
        <v>4</v>
      </c>
      <c r="L85" s="174"/>
      <c r="M85" s="179"/>
      <c r="N85" s="179"/>
      <c r="O85" s="185"/>
      <c r="P85" s="124"/>
    </row>
    <row r="86" spans="1:16" ht="12.75">
      <c r="A86" s="186" t="s">
        <v>175</v>
      </c>
      <c r="B86" s="187" t="s">
        <v>36</v>
      </c>
      <c r="C86" s="187"/>
      <c r="D86" s="197"/>
      <c r="E86" s="187"/>
      <c r="F86" s="187"/>
      <c r="G86" s="197"/>
      <c r="H86" s="188">
        <v>26015</v>
      </c>
      <c r="I86" s="188">
        <v>26015</v>
      </c>
      <c r="J86" s="172">
        <f t="shared" si="1"/>
        <v>0</v>
      </c>
      <c r="K86" s="189">
        <v>5</v>
      </c>
      <c r="L86" s="174"/>
      <c r="M86" s="179"/>
      <c r="N86" s="179"/>
      <c r="O86" s="185"/>
      <c r="P86" s="124"/>
    </row>
    <row r="87" spans="1:16" ht="12.75">
      <c r="A87" s="186" t="s">
        <v>176</v>
      </c>
      <c r="B87" s="187" t="s">
        <v>36</v>
      </c>
      <c r="C87" s="187"/>
      <c r="D87" s="197"/>
      <c r="E87" s="187"/>
      <c r="F87" s="187"/>
      <c r="G87" s="197"/>
      <c r="H87" s="188">
        <v>175396.76</v>
      </c>
      <c r="I87" s="188">
        <v>175396.76</v>
      </c>
      <c r="J87" s="172">
        <f t="shared" si="1"/>
        <v>0</v>
      </c>
      <c r="K87" s="189">
        <v>6</v>
      </c>
      <c r="L87" s="174"/>
      <c r="M87" s="179"/>
      <c r="N87" s="179"/>
      <c r="O87" s="185"/>
      <c r="P87" s="124"/>
    </row>
    <row r="88" spans="1:16" ht="12.75">
      <c r="A88" s="186" t="s">
        <v>177</v>
      </c>
      <c r="B88" s="187" t="s">
        <v>36</v>
      </c>
      <c r="C88" s="187"/>
      <c r="D88" s="197"/>
      <c r="E88" s="187"/>
      <c r="F88" s="187"/>
      <c r="G88" s="197"/>
      <c r="H88" s="188">
        <v>86890.1</v>
      </c>
      <c r="I88" s="188">
        <v>86890.1</v>
      </c>
      <c r="J88" s="172">
        <f t="shared" si="1"/>
        <v>0</v>
      </c>
      <c r="K88" s="189">
        <v>7</v>
      </c>
      <c r="L88" s="174"/>
      <c r="M88" s="179"/>
      <c r="N88" s="179"/>
      <c r="O88" s="185"/>
      <c r="P88" s="124"/>
    </row>
    <row r="89" spans="1:16" ht="12.75">
      <c r="A89" s="186" t="s">
        <v>178</v>
      </c>
      <c r="B89" s="187" t="s">
        <v>36</v>
      </c>
      <c r="C89" s="187"/>
      <c r="D89" s="197"/>
      <c r="E89" s="187"/>
      <c r="F89" s="187"/>
      <c r="G89" s="197"/>
      <c r="H89" s="188">
        <v>117195.52</v>
      </c>
      <c r="I89" s="188">
        <v>117195.52</v>
      </c>
      <c r="J89" s="172">
        <f t="shared" si="1"/>
        <v>0</v>
      </c>
      <c r="K89" s="189">
        <v>8</v>
      </c>
      <c r="L89" s="174"/>
      <c r="M89" s="179"/>
      <c r="N89" s="179"/>
      <c r="O89" s="185"/>
      <c r="P89" s="124"/>
    </row>
    <row r="90" spans="1:16" ht="12.75">
      <c r="A90" s="186" t="s">
        <v>179</v>
      </c>
      <c r="B90" s="187" t="s">
        <v>36</v>
      </c>
      <c r="C90" s="187"/>
      <c r="D90" s="197"/>
      <c r="E90" s="187"/>
      <c r="F90" s="187"/>
      <c r="G90" s="197"/>
      <c r="H90" s="188">
        <v>143880.14</v>
      </c>
      <c r="I90" s="188">
        <v>143880.14</v>
      </c>
      <c r="J90" s="172">
        <f t="shared" si="1"/>
        <v>0</v>
      </c>
      <c r="K90" s="189">
        <v>9</v>
      </c>
      <c r="L90" s="174"/>
      <c r="M90" s="179"/>
      <c r="N90" s="179"/>
      <c r="O90" s="185"/>
      <c r="P90" s="124"/>
    </row>
    <row r="91" spans="1:16" ht="12.75">
      <c r="A91" s="186" t="s">
        <v>180</v>
      </c>
      <c r="B91" s="187" t="s">
        <v>36</v>
      </c>
      <c r="C91" s="187"/>
      <c r="D91" s="197"/>
      <c r="E91" s="187"/>
      <c r="F91" s="187"/>
      <c r="G91" s="197"/>
      <c r="H91" s="188">
        <v>552877.01</v>
      </c>
      <c r="I91" s="188">
        <v>552877.01</v>
      </c>
      <c r="J91" s="172">
        <f t="shared" si="1"/>
        <v>0</v>
      </c>
      <c r="K91" s="189">
        <v>10</v>
      </c>
      <c r="L91" s="174"/>
      <c r="M91" s="179"/>
      <c r="N91" s="179"/>
      <c r="O91" s="185"/>
      <c r="P91" s="124"/>
    </row>
    <row r="92" spans="1:16" ht="14.25" customHeight="1">
      <c r="A92" s="186" t="s">
        <v>181</v>
      </c>
      <c r="B92" s="187" t="s">
        <v>36</v>
      </c>
      <c r="C92" s="187"/>
      <c r="D92" s="197"/>
      <c r="E92" s="187"/>
      <c r="F92" s="187"/>
      <c r="G92" s="197"/>
      <c r="H92" s="188">
        <v>540451.2</v>
      </c>
      <c r="I92" s="188">
        <v>540451.2</v>
      </c>
      <c r="J92" s="172">
        <f t="shared" si="1"/>
        <v>0</v>
      </c>
      <c r="K92" s="189">
        <v>11</v>
      </c>
      <c r="L92" s="174"/>
      <c r="M92" s="179"/>
      <c r="N92" s="179"/>
      <c r="O92" s="185"/>
      <c r="P92" s="124"/>
    </row>
    <row r="93" spans="1:16" ht="12.75">
      <c r="A93" s="186" t="s">
        <v>182</v>
      </c>
      <c r="B93" s="187" t="s">
        <v>36</v>
      </c>
      <c r="C93" s="187"/>
      <c r="D93" s="197"/>
      <c r="E93" s="187"/>
      <c r="F93" s="187"/>
      <c r="G93" s="197"/>
      <c r="H93" s="188">
        <v>120399.09</v>
      </c>
      <c r="I93" s="188">
        <v>120399.09</v>
      </c>
      <c r="J93" s="172">
        <f t="shared" si="1"/>
        <v>0</v>
      </c>
      <c r="K93" s="189">
        <v>12</v>
      </c>
      <c r="L93" s="174"/>
      <c r="M93" s="179"/>
      <c r="N93" s="179"/>
      <c r="O93" s="185"/>
      <c r="P93" s="124"/>
    </row>
    <row r="94" spans="1:16" ht="12.75">
      <c r="A94" s="186" t="s">
        <v>183</v>
      </c>
      <c r="B94" s="187" t="s">
        <v>36</v>
      </c>
      <c r="C94" s="187"/>
      <c r="D94" s="197"/>
      <c r="E94" s="187"/>
      <c r="F94" s="187"/>
      <c r="G94" s="197"/>
      <c r="H94" s="188">
        <v>1167360</v>
      </c>
      <c r="I94" s="188">
        <v>1167360</v>
      </c>
      <c r="J94" s="172">
        <f t="shared" si="1"/>
        <v>0</v>
      </c>
      <c r="K94" s="189">
        <v>13</v>
      </c>
      <c r="L94" s="174"/>
      <c r="M94" s="179"/>
      <c r="N94" s="179"/>
      <c r="O94" s="185"/>
      <c r="P94" s="124"/>
    </row>
    <row r="95" spans="1:16" ht="12.75">
      <c r="A95" s="186" t="s">
        <v>184</v>
      </c>
      <c r="B95" s="187" t="s">
        <v>36</v>
      </c>
      <c r="C95" s="187"/>
      <c r="D95" s="197"/>
      <c r="E95" s="187"/>
      <c r="F95" s="187"/>
      <c r="G95" s="197"/>
      <c r="H95" s="188">
        <v>422347</v>
      </c>
      <c r="I95" s="188">
        <v>422347</v>
      </c>
      <c r="J95" s="172">
        <f t="shared" si="1"/>
        <v>0</v>
      </c>
      <c r="K95" s="189">
        <v>14</v>
      </c>
      <c r="L95" s="174"/>
      <c r="M95" s="179"/>
      <c r="N95" s="179"/>
      <c r="O95" s="185"/>
      <c r="P95" s="124"/>
    </row>
    <row r="96" spans="1:16" ht="12.75">
      <c r="A96" s="186" t="s">
        <v>185</v>
      </c>
      <c r="B96" s="187" t="s">
        <v>36</v>
      </c>
      <c r="C96" s="187"/>
      <c r="D96" s="197"/>
      <c r="E96" s="187"/>
      <c r="F96" s="187"/>
      <c r="G96" s="197"/>
      <c r="H96" s="188">
        <v>402550</v>
      </c>
      <c r="I96" s="188">
        <v>402550</v>
      </c>
      <c r="J96" s="172">
        <f t="shared" si="1"/>
        <v>0</v>
      </c>
      <c r="K96" s="189">
        <v>15</v>
      </c>
      <c r="L96" s="174"/>
      <c r="M96" s="179"/>
      <c r="N96" s="179"/>
      <c r="O96" s="185"/>
      <c r="P96" s="124"/>
    </row>
    <row r="97" spans="1:16" ht="12.75">
      <c r="A97" s="186" t="s">
        <v>186</v>
      </c>
      <c r="B97" s="187" t="s">
        <v>36</v>
      </c>
      <c r="C97" s="187"/>
      <c r="D97" s="197"/>
      <c r="E97" s="187"/>
      <c r="F97" s="187"/>
      <c r="G97" s="197"/>
      <c r="H97" s="188">
        <v>354750</v>
      </c>
      <c r="I97" s="188">
        <v>354750</v>
      </c>
      <c r="J97" s="172">
        <f t="shared" si="1"/>
        <v>0</v>
      </c>
      <c r="K97" s="189">
        <v>16</v>
      </c>
      <c r="L97" s="174"/>
      <c r="M97" s="179"/>
      <c r="N97" s="179"/>
      <c r="O97" s="185"/>
      <c r="P97" s="124"/>
    </row>
    <row r="98" spans="1:16" ht="12.75">
      <c r="A98" s="186" t="s">
        <v>187</v>
      </c>
      <c r="B98" s="187" t="s">
        <v>36</v>
      </c>
      <c r="C98" s="187"/>
      <c r="D98" s="197"/>
      <c r="E98" s="187"/>
      <c r="F98" s="187"/>
      <c r="G98" s="197"/>
      <c r="H98" s="188">
        <v>108590.46</v>
      </c>
      <c r="I98" s="188">
        <v>108590.46</v>
      </c>
      <c r="J98" s="172">
        <f t="shared" si="1"/>
        <v>0</v>
      </c>
      <c r="K98" s="189">
        <v>17</v>
      </c>
      <c r="L98" s="174"/>
      <c r="M98" s="179"/>
      <c r="N98" s="179"/>
      <c r="O98" s="185"/>
      <c r="P98" s="124"/>
    </row>
    <row r="99" spans="1:16" ht="12.75">
      <c r="A99" s="186" t="s">
        <v>188</v>
      </c>
      <c r="B99" s="187" t="s">
        <v>36</v>
      </c>
      <c r="C99" s="187"/>
      <c r="D99" s="197"/>
      <c r="E99" s="187"/>
      <c r="F99" s="187"/>
      <c r="G99" s="197"/>
      <c r="H99" s="188">
        <v>382412.14</v>
      </c>
      <c r="I99" s="188">
        <v>382412.14</v>
      </c>
      <c r="J99" s="172">
        <f t="shared" si="1"/>
        <v>0</v>
      </c>
      <c r="K99" s="189">
        <v>18</v>
      </c>
      <c r="L99" s="174"/>
      <c r="M99" s="179"/>
      <c r="N99" s="179"/>
      <c r="O99" s="185"/>
      <c r="P99" s="124"/>
    </row>
    <row r="100" spans="1:16" ht="12.75">
      <c r="A100" s="186" t="s">
        <v>189</v>
      </c>
      <c r="B100" s="187" t="s">
        <v>36</v>
      </c>
      <c r="C100" s="187"/>
      <c r="D100" s="197"/>
      <c r="E100" s="187"/>
      <c r="F100" s="187"/>
      <c r="G100" s="197"/>
      <c r="H100" s="188">
        <v>40035.7</v>
      </c>
      <c r="I100" s="188">
        <v>40035.7</v>
      </c>
      <c r="J100" s="172">
        <f t="shared" si="1"/>
        <v>0</v>
      </c>
      <c r="K100" s="189">
        <v>19</v>
      </c>
      <c r="L100" s="174"/>
      <c r="M100" s="179"/>
      <c r="N100" s="179"/>
      <c r="O100" s="185"/>
      <c r="P100" s="124"/>
    </row>
    <row r="101" spans="1:16" ht="12.75">
      <c r="A101" s="186" t="s">
        <v>190</v>
      </c>
      <c r="B101" s="187" t="s">
        <v>36</v>
      </c>
      <c r="C101" s="187"/>
      <c r="D101" s="197"/>
      <c r="E101" s="187"/>
      <c r="F101" s="187"/>
      <c r="G101" s="197"/>
      <c r="H101" s="188">
        <v>454723.2</v>
      </c>
      <c r="I101" s="188">
        <v>454723.2</v>
      </c>
      <c r="J101" s="172">
        <f t="shared" si="1"/>
        <v>0</v>
      </c>
      <c r="K101" s="189">
        <v>20</v>
      </c>
      <c r="L101" s="174"/>
      <c r="M101" s="179"/>
      <c r="N101" s="179"/>
      <c r="O101" s="185"/>
      <c r="P101" s="124"/>
    </row>
    <row r="102" spans="1:16" ht="12.75">
      <c r="A102" s="186" t="s">
        <v>191</v>
      </c>
      <c r="B102" s="187" t="s">
        <v>36</v>
      </c>
      <c r="C102" s="187"/>
      <c r="D102" s="197"/>
      <c r="E102" s="187"/>
      <c r="F102" s="187"/>
      <c r="G102" s="197"/>
      <c r="H102" s="188">
        <v>50942.1</v>
      </c>
      <c r="I102" s="188">
        <v>50942.1</v>
      </c>
      <c r="J102" s="172">
        <f t="shared" si="1"/>
        <v>0</v>
      </c>
      <c r="K102" s="189">
        <v>21</v>
      </c>
      <c r="L102" s="174"/>
      <c r="M102" s="179"/>
      <c r="N102" s="179"/>
      <c r="O102" s="185"/>
      <c r="P102" s="124"/>
    </row>
    <row r="103" spans="1:16" ht="12.75">
      <c r="A103" s="186" t="s">
        <v>192</v>
      </c>
      <c r="B103" s="187" t="s">
        <v>36</v>
      </c>
      <c r="C103" s="187"/>
      <c r="D103" s="197"/>
      <c r="E103" s="187"/>
      <c r="F103" s="187"/>
      <c r="G103" s="197"/>
      <c r="H103" s="188">
        <v>15448.2</v>
      </c>
      <c r="I103" s="188">
        <v>15448.2</v>
      </c>
      <c r="J103" s="172">
        <f t="shared" si="1"/>
        <v>0</v>
      </c>
      <c r="K103" s="189">
        <v>22</v>
      </c>
      <c r="L103" s="174"/>
      <c r="M103" s="179"/>
      <c r="N103" s="179"/>
      <c r="O103" s="185"/>
      <c r="P103" s="110"/>
    </row>
    <row r="104" spans="1:16" ht="12.75">
      <c r="A104" s="186" t="s">
        <v>193</v>
      </c>
      <c r="B104" s="187" t="s">
        <v>36</v>
      </c>
      <c r="C104" s="187"/>
      <c r="D104" s="197"/>
      <c r="E104" s="187"/>
      <c r="F104" s="187"/>
      <c r="G104" s="197"/>
      <c r="H104" s="188">
        <v>137403.98</v>
      </c>
      <c r="I104" s="188">
        <v>137403.98</v>
      </c>
      <c r="J104" s="172">
        <f t="shared" si="1"/>
        <v>0</v>
      </c>
      <c r="K104" s="189">
        <v>23</v>
      </c>
      <c r="L104" s="174"/>
      <c r="M104" s="179"/>
      <c r="N104" s="179"/>
      <c r="O104" s="185"/>
      <c r="P104" s="144"/>
    </row>
    <row r="105" spans="1:16" ht="12.75">
      <c r="A105" s="186" t="s">
        <v>194</v>
      </c>
      <c r="B105" s="187" t="s">
        <v>36</v>
      </c>
      <c r="C105" s="187"/>
      <c r="D105" s="197"/>
      <c r="E105" s="187"/>
      <c r="F105" s="187"/>
      <c r="G105" s="197"/>
      <c r="H105" s="188">
        <v>106788.55</v>
      </c>
      <c r="I105" s="188">
        <v>106788.55</v>
      </c>
      <c r="J105" s="172">
        <f t="shared" si="1"/>
        <v>0</v>
      </c>
      <c r="K105" s="189">
        <v>24</v>
      </c>
      <c r="L105" s="174"/>
      <c r="M105" s="179"/>
      <c r="N105" s="179"/>
      <c r="O105" s="185"/>
      <c r="P105" s="144"/>
    </row>
    <row r="106" spans="1:18" ht="12.75">
      <c r="A106" s="186" t="s">
        <v>195</v>
      </c>
      <c r="B106" s="187" t="s">
        <v>36</v>
      </c>
      <c r="C106" s="187"/>
      <c r="D106" s="197"/>
      <c r="E106" s="187"/>
      <c r="F106" s="187"/>
      <c r="G106" s="197"/>
      <c r="H106" s="188">
        <v>10323.21</v>
      </c>
      <c r="I106" s="188">
        <v>10323.21</v>
      </c>
      <c r="J106" s="172">
        <f t="shared" si="1"/>
        <v>0</v>
      </c>
      <c r="K106" s="189">
        <v>25</v>
      </c>
      <c r="L106" s="174"/>
      <c r="M106" s="179"/>
      <c r="N106" s="179"/>
      <c r="O106" s="185"/>
      <c r="P106" s="147"/>
      <c r="Q106" s="107"/>
      <c r="R106" s="107"/>
    </row>
    <row r="107" spans="1:15" ht="12.75">
      <c r="A107" s="186" t="s">
        <v>196</v>
      </c>
      <c r="B107" s="187" t="s">
        <v>36</v>
      </c>
      <c r="C107" s="187"/>
      <c r="D107" s="197"/>
      <c r="E107" s="187"/>
      <c r="F107" s="187"/>
      <c r="G107" s="197"/>
      <c r="H107" s="188">
        <v>613622.9</v>
      </c>
      <c r="I107" s="188">
        <v>613622.9</v>
      </c>
      <c r="J107" s="172">
        <f t="shared" si="1"/>
        <v>0</v>
      </c>
      <c r="K107" s="189">
        <v>26</v>
      </c>
      <c r="L107" s="174"/>
      <c r="M107" s="179"/>
      <c r="N107" s="179"/>
      <c r="O107" s="185"/>
    </row>
    <row r="108" spans="1:15" ht="12.75">
      <c r="A108" s="186" t="s">
        <v>197</v>
      </c>
      <c r="B108" s="187" t="s">
        <v>36</v>
      </c>
      <c r="C108" s="187"/>
      <c r="D108" s="197"/>
      <c r="E108" s="187"/>
      <c r="F108" s="187"/>
      <c r="G108" s="197"/>
      <c r="H108" s="188">
        <v>1747971.5</v>
      </c>
      <c r="I108" s="188">
        <v>1747971.5</v>
      </c>
      <c r="J108" s="172">
        <f t="shared" si="1"/>
        <v>0</v>
      </c>
      <c r="K108" s="189">
        <v>27</v>
      </c>
      <c r="L108" s="174"/>
      <c r="M108" s="179"/>
      <c r="N108" s="179"/>
      <c r="O108" s="185"/>
    </row>
    <row r="109" spans="1:15" ht="12.75">
      <c r="A109" s="186" t="s">
        <v>198</v>
      </c>
      <c r="B109" s="187" t="s">
        <v>36</v>
      </c>
      <c r="C109" s="187"/>
      <c r="D109" s="197"/>
      <c r="E109" s="187"/>
      <c r="F109" s="187"/>
      <c r="G109" s="197"/>
      <c r="H109" s="188">
        <v>2676726.47</v>
      </c>
      <c r="I109" s="188">
        <v>2676726.47</v>
      </c>
      <c r="J109" s="172">
        <f t="shared" si="1"/>
        <v>0</v>
      </c>
      <c r="K109" s="189">
        <v>28</v>
      </c>
      <c r="L109" s="174"/>
      <c r="M109" s="179"/>
      <c r="N109" s="179"/>
      <c r="O109" s="185"/>
    </row>
    <row r="110" spans="1:15" ht="12.75">
      <c r="A110" s="186" t="s">
        <v>199</v>
      </c>
      <c r="B110" s="187" t="s">
        <v>36</v>
      </c>
      <c r="C110" s="187"/>
      <c r="D110" s="197"/>
      <c r="E110" s="187"/>
      <c r="F110" s="187"/>
      <c r="G110" s="197"/>
      <c r="H110" s="188">
        <v>678.59000000001</v>
      </c>
      <c r="I110" s="188">
        <v>678.59000000001</v>
      </c>
      <c r="J110" s="172">
        <f t="shared" si="1"/>
        <v>0</v>
      </c>
      <c r="K110" s="189">
        <v>29</v>
      </c>
      <c r="L110" s="174"/>
      <c r="M110" s="179"/>
      <c r="N110" s="179"/>
      <c r="O110" s="185"/>
    </row>
    <row r="111" spans="1:15" ht="12.75">
      <c r="A111" s="186" t="s">
        <v>200</v>
      </c>
      <c r="B111" s="187" t="s">
        <v>36</v>
      </c>
      <c r="C111" s="187"/>
      <c r="D111" s="197"/>
      <c r="E111" s="187"/>
      <c r="F111" s="187"/>
      <c r="G111" s="197"/>
      <c r="H111" s="188">
        <v>213865.04</v>
      </c>
      <c r="I111" s="188">
        <v>213865.04</v>
      </c>
      <c r="J111" s="172">
        <f t="shared" si="1"/>
        <v>0</v>
      </c>
      <c r="K111" s="189">
        <v>30</v>
      </c>
      <c r="L111" s="174"/>
      <c r="M111" s="179"/>
      <c r="N111" s="179"/>
      <c r="O111" s="185"/>
    </row>
    <row r="112" spans="1:15" ht="12.75">
      <c r="A112" s="186" t="s">
        <v>201</v>
      </c>
      <c r="B112" s="187" t="s">
        <v>36</v>
      </c>
      <c r="C112" s="187"/>
      <c r="D112" s="197"/>
      <c r="E112" s="187"/>
      <c r="F112" s="187"/>
      <c r="G112" s="197"/>
      <c r="H112" s="188">
        <v>220033</v>
      </c>
      <c r="I112" s="188">
        <v>220033</v>
      </c>
      <c r="J112" s="172">
        <f t="shared" si="1"/>
        <v>0</v>
      </c>
      <c r="K112" s="189">
        <v>31</v>
      </c>
      <c r="L112" s="174"/>
      <c r="M112" s="179"/>
      <c r="N112" s="179"/>
      <c r="O112" s="185"/>
    </row>
    <row r="113" spans="1:15" ht="12.75">
      <c r="A113" s="186" t="s">
        <v>202</v>
      </c>
      <c r="B113" s="187" t="s">
        <v>36</v>
      </c>
      <c r="C113" s="187"/>
      <c r="D113" s="197"/>
      <c r="E113" s="187"/>
      <c r="F113" s="187"/>
      <c r="G113" s="197"/>
      <c r="H113" s="188">
        <v>1418546.36</v>
      </c>
      <c r="I113" s="188">
        <v>1418546.36</v>
      </c>
      <c r="J113" s="172">
        <f t="shared" si="1"/>
        <v>0</v>
      </c>
      <c r="K113" s="189">
        <v>32</v>
      </c>
      <c r="L113" s="174"/>
      <c r="M113" s="179"/>
      <c r="N113" s="179"/>
      <c r="O113" s="185"/>
    </row>
    <row r="114" spans="1:15" ht="12.75">
      <c r="A114" s="186" t="s">
        <v>203</v>
      </c>
      <c r="B114" s="187" t="s">
        <v>36</v>
      </c>
      <c r="C114" s="187"/>
      <c r="D114" s="197"/>
      <c r="E114" s="187"/>
      <c r="F114" s="187"/>
      <c r="G114" s="197"/>
      <c r="H114" s="188">
        <v>640513.48</v>
      </c>
      <c r="I114" s="188">
        <v>640513.48</v>
      </c>
      <c r="J114" s="172">
        <f t="shared" si="1"/>
        <v>0</v>
      </c>
      <c r="K114" s="189">
        <v>33</v>
      </c>
      <c r="L114" s="174"/>
      <c r="M114" s="179"/>
      <c r="N114" s="179"/>
      <c r="O114" s="185"/>
    </row>
    <row r="115" spans="1:15" ht="12.75">
      <c r="A115" s="186" t="s">
        <v>204</v>
      </c>
      <c r="B115" s="187" t="s">
        <v>36</v>
      </c>
      <c r="C115" s="187"/>
      <c r="D115" s="197"/>
      <c r="E115" s="187"/>
      <c r="F115" s="187"/>
      <c r="G115" s="197"/>
      <c r="H115" s="188">
        <v>400068</v>
      </c>
      <c r="I115" s="188">
        <v>400068</v>
      </c>
      <c r="J115" s="172">
        <f t="shared" si="1"/>
        <v>0</v>
      </c>
      <c r="K115" s="189">
        <v>34</v>
      </c>
      <c r="L115" s="174"/>
      <c r="M115" s="179"/>
      <c r="N115" s="179"/>
      <c r="O115" s="185"/>
    </row>
    <row r="116" spans="1:15" ht="12.75">
      <c r="A116" s="186" t="s">
        <v>205</v>
      </c>
      <c r="B116" s="187" t="s">
        <v>36</v>
      </c>
      <c r="C116" s="187"/>
      <c r="D116" s="197"/>
      <c r="E116" s="187"/>
      <c r="F116" s="187"/>
      <c r="G116" s="197"/>
      <c r="H116" s="188">
        <v>2196.83000000001</v>
      </c>
      <c r="I116" s="188">
        <v>2196.83000000001</v>
      </c>
      <c r="J116" s="172">
        <f t="shared" si="1"/>
        <v>0</v>
      </c>
      <c r="K116" s="189">
        <v>35</v>
      </c>
      <c r="L116" s="174"/>
      <c r="M116" s="179"/>
      <c r="N116" s="179"/>
      <c r="O116" s="185"/>
    </row>
    <row r="117" spans="1:15" ht="12.75">
      <c r="A117" s="186" t="s">
        <v>206</v>
      </c>
      <c r="B117" s="187" t="s">
        <v>36</v>
      </c>
      <c r="C117" s="187"/>
      <c r="D117" s="197"/>
      <c r="E117" s="187"/>
      <c r="F117" s="187"/>
      <c r="G117" s="197"/>
      <c r="H117" s="188">
        <v>199889.8</v>
      </c>
      <c r="I117" s="188">
        <v>199889.8</v>
      </c>
      <c r="J117" s="172">
        <f t="shared" si="1"/>
        <v>0</v>
      </c>
      <c r="K117" s="189">
        <v>36</v>
      </c>
      <c r="L117" s="174"/>
      <c r="M117" s="179"/>
      <c r="N117" s="179"/>
      <c r="O117" s="185"/>
    </row>
    <row r="118" spans="1:15" ht="12.75">
      <c r="A118" s="186" t="s">
        <v>207</v>
      </c>
      <c r="B118" s="187" t="s">
        <v>36</v>
      </c>
      <c r="C118" s="187"/>
      <c r="D118" s="197"/>
      <c r="E118" s="187"/>
      <c r="F118" s="187"/>
      <c r="G118" s="197"/>
      <c r="H118" s="188">
        <v>872.01000000001</v>
      </c>
      <c r="I118" s="188">
        <v>872.01000000001</v>
      </c>
      <c r="J118" s="172">
        <f t="shared" si="1"/>
        <v>0</v>
      </c>
      <c r="K118" s="189">
        <v>37</v>
      </c>
      <c r="L118" s="174"/>
      <c r="M118" s="179"/>
      <c r="N118" s="179"/>
      <c r="O118" s="185"/>
    </row>
    <row r="119" spans="1:15" ht="12.75">
      <c r="A119" s="186" t="s">
        <v>208</v>
      </c>
      <c r="B119" s="187" t="s">
        <v>36</v>
      </c>
      <c r="C119" s="187"/>
      <c r="D119" s="197"/>
      <c r="E119" s="187"/>
      <c r="F119" s="187"/>
      <c r="G119" s="197"/>
      <c r="H119" s="188">
        <v>76068</v>
      </c>
      <c r="I119" s="188">
        <v>76068</v>
      </c>
      <c r="J119" s="172">
        <f t="shared" si="1"/>
        <v>0</v>
      </c>
      <c r="K119" s="189">
        <v>38</v>
      </c>
      <c r="L119" s="174"/>
      <c r="M119" s="179"/>
      <c r="N119" s="179"/>
      <c r="O119" s="185"/>
    </row>
    <row r="120" spans="1:15" ht="12.75">
      <c r="A120" s="186" t="s">
        <v>212</v>
      </c>
      <c r="B120" s="187" t="s">
        <v>36</v>
      </c>
      <c r="C120" s="187"/>
      <c r="D120" s="197"/>
      <c r="E120" s="187"/>
      <c r="F120" s="187"/>
      <c r="G120" s="197"/>
      <c r="H120" s="188">
        <v>403847.4</v>
      </c>
      <c r="I120" s="188">
        <v>403847.4</v>
      </c>
      <c r="J120" s="172">
        <f t="shared" si="1"/>
        <v>0</v>
      </c>
      <c r="K120" s="189">
        <v>39</v>
      </c>
      <c r="L120" s="174"/>
      <c r="M120" s="179"/>
      <c r="N120" s="179"/>
      <c r="O120" s="185"/>
    </row>
    <row r="121" spans="1:15" ht="12.75">
      <c r="A121" s="186" t="s">
        <v>213</v>
      </c>
      <c r="B121" s="187" t="s">
        <v>36</v>
      </c>
      <c r="C121" s="187"/>
      <c r="D121" s="197"/>
      <c r="E121" s="187"/>
      <c r="F121" s="187"/>
      <c r="G121" s="197"/>
      <c r="H121" s="188">
        <v>457769.4</v>
      </c>
      <c r="I121" s="188">
        <v>457769.4</v>
      </c>
      <c r="J121" s="172">
        <f t="shared" si="1"/>
        <v>0</v>
      </c>
      <c r="K121" s="189">
        <v>40</v>
      </c>
      <c r="L121" s="174"/>
      <c r="M121" s="179"/>
      <c r="N121" s="179"/>
      <c r="O121" s="185"/>
    </row>
    <row r="122" spans="1:15" ht="12.75">
      <c r="A122" s="186" t="s">
        <v>214</v>
      </c>
      <c r="B122" s="187" t="s">
        <v>36</v>
      </c>
      <c r="C122" s="187"/>
      <c r="D122" s="197"/>
      <c r="E122" s="187"/>
      <c r="F122" s="187"/>
      <c r="G122" s="197"/>
      <c r="H122" s="188">
        <v>147044.9</v>
      </c>
      <c r="I122" s="188">
        <v>147044.9</v>
      </c>
      <c r="J122" s="172">
        <f t="shared" si="1"/>
        <v>0</v>
      </c>
      <c r="K122" s="189">
        <v>41</v>
      </c>
      <c r="L122" s="174"/>
      <c r="M122" s="179"/>
      <c r="N122" s="179"/>
      <c r="O122" s="185"/>
    </row>
    <row r="123" spans="1:15" ht="12.75">
      <c r="A123" s="186" t="s">
        <v>215</v>
      </c>
      <c r="B123" s="187" t="s">
        <v>36</v>
      </c>
      <c r="C123" s="187"/>
      <c r="D123" s="197"/>
      <c r="E123" s="187"/>
      <c r="F123" s="187"/>
      <c r="G123" s="197"/>
      <c r="H123" s="188">
        <v>95384.52</v>
      </c>
      <c r="I123" s="188">
        <v>95384.52</v>
      </c>
      <c r="J123" s="172">
        <f t="shared" si="1"/>
        <v>0</v>
      </c>
      <c r="K123" s="189">
        <v>42</v>
      </c>
      <c r="L123" s="174"/>
      <c r="M123" s="179"/>
      <c r="N123" s="179"/>
      <c r="O123" s="185"/>
    </row>
    <row r="124" spans="1:15" ht="12.75">
      <c r="A124" s="186" t="s">
        <v>216</v>
      </c>
      <c r="B124" s="187" t="s">
        <v>36</v>
      </c>
      <c r="C124" s="187"/>
      <c r="D124" s="197"/>
      <c r="E124" s="187"/>
      <c r="F124" s="187"/>
      <c r="G124" s="197"/>
      <c r="H124" s="188">
        <v>228459</v>
      </c>
      <c r="I124" s="188">
        <v>228459</v>
      </c>
      <c r="J124" s="172">
        <f t="shared" si="1"/>
        <v>0</v>
      </c>
      <c r="K124" s="189">
        <v>43</v>
      </c>
      <c r="L124" s="174"/>
      <c r="M124" s="179"/>
      <c r="N124" s="179"/>
      <c r="O124" s="185"/>
    </row>
    <row r="125" spans="1:15" ht="12.75">
      <c r="A125" s="186" t="s">
        <v>217</v>
      </c>
      <c r="B125" s="187" t="s">
        <v>36</v>
      </c>
      <c r="C125" s="187"/>
      <c r="D125" s="197"/>
      <c r="E125" s="187"/>
      <c r="F125" s="187"/>
      <c r="G125" s="197"/>
      <c r="H125" s="188">
        <v>58179</v>
      </c>
      <c r="I125" s="188">
        <v>58179</v>
      </c>
      <c r="J125" s="172">
        <f t="shared" si="1"/>
        <v>0</v>
      </c>
      <c r="K125" s="189">
        <v>44</v>
      </c>
      <c r="L125" s="174"/>
      <c r="M125" s="179"/>
      <c r="N125" s="179"/>
      <c r="O125" s="185"/>
    </row>
    <row r="126" spans="1:15" ht="12.75">
      <c r="A126" s="186" t="s">
        <v>218</v>
      </c>
      <c r="B126" s="187" t="s">
        <v>36</v>
      </c>
      <c r="C126" s="187"/>
      <c r="D126" s="197"/>
      <c r="E126" s="187"/>
      <c r="F126" s="187"/>
      <c r="G126" s="197"/>
      <c r="H126" s="188">
        <v>795347.5</v>
      </c>
      <c r="I126" s="188">
        <v>795347.5</v>
      </c>
      <c r="J126" s="172">
        <f t="shared" si="1"/>
        <v>0</v>
      </c>
      <c r="K126" s="189">
        <v>45</v>
      </c>
      <c r="L126" s="174"/>
      <c r="M126" s="179"/>
      <c r="N126" s="179"/>
      <c r="O126" s="185"/>
    </row>
    <row r="127" spans="1:15" ht="12.75">
      <c r="A127" s="186" t="s">
        <v>219</v>
      </c>
      <c r="B127" s="187" t="s">
        <v>36</v>
      </c>
      <c r="C127" s="187"/>
      <c r="D127" s="197"/>
      <c r="E127" s="187"/>
      <c r="F127" s="187"/>
      <c r="G127" s="197"/>
      <c r="H127" s="188">
        <v>236500</v>
      </c>
      <c r="I127" s="188">
        <v>236500</v>
      </c>
      <c r="J127" s="172">
        <f t="shared" si="1"/>
        <v>0</v>
      </c>
      <c r="K127" s="189">
        <v>46</v>
      </c>
      <c r="L127" s="174"/>
      <c r="M127" s="179"/>
      <c r="N127" s="179"/>
      <c r="O127" s="185"/>
    </row>
    <row r="128" spans="1:15" ht="12.75">
      <c r="A128" s="186" t="s">
        <v>220</v>
      </c>
      <c r="B128" s="187" t="s">
        <v>36</v>
      </c>
      <c r="C128" s="187"/>
      <c r="D128" s="197"/>
      <c r="E128" s="187"/>
      <c r="F128" s="187"/>
      <c r="G128" s="197"/>
      <c r="H128" s="188">
        <v>717446.4</v>
      </c>
      <c r="I128" s="188">
        <v>717446.4</v>
      </c>
      <c r="J128" s="172">
        <f t="shared" si="1"/>
        <v>0</v>
      </c>
      <c r="K128" s="189">
        <v>47</v>
      </c>
      <c r="L128" s="174"/>
      <c r="M128" s="179"/>
      <c r="N128" s="179"/>
      <c r="O128" s="185"/>
    </row>
    <row r="129" spans="1:15" ht="12.75">
      <c r="A129" s="186" t="s">
        <v>221</v>
      </c>
      <c r="B129" s="187" t="s">
        <v>36</v>
      </c>
      <c r="C129" s="187"/>
      <c r="D129" s="197"/>
      <c r="E129" s="187"/>
      <c r="F129" s="187"/>
      <c r="G129" s="197"/>
      <c r="H129" s="188">
        <v>621522</v>
      </c>
      <c r="I129" s="188">
        <v>621522</v>
      </c>
      <c r="J129" s="172">
        <f t="shared" si="1"/>
        <v>0</v>
      </c>
      <c r="K129" s="189">
        <v>48</v>
      </c>
      <c r="L129" s="174"/>
      <c r="M129" s="179"/>
      <c r="N129" s="179"/>
      <c r="O129" s="185"/>
    </row>
    <row r="130" spans="1:15" ht="12.75">
      <c r="A130" s="186" t="s">
        <v>222</v>
      </c>
      <c r="B130" s="187" t="s">
        <v>36</v>
      </c>
      <c r="C130" s="187"/>
      <c r="D130" s="197"/>
      <c r="E130" s="187"/>
      <c r="F130" s="187"/>
      <c r="G130" s="197"/>
      <c r="H130" s="188">
        <v>382219.2</v>
      </c>
      <c r="I130" s="188">
        <v>382219.2</v>
      </c>
      <c r="J130" s="172">
        <f t="shared" si="1"/>
        <v>0</v>
      </c>
      <c r="K130" s="189">
        <v>49</v>
      </c>
      <c r="L130" s="174"/>
      <c r="M130" s="179"/>
      <c r="N130" s="179"/>
      <c r="O130" s="185"/>
    </row>
    <row r="131" spans="1:15" ht="12.75">
      <c r="A131" s="186" t="s">
        <v>223</v>
      </c>
      <c r="B131" s="187" t="s">
        <v>36</v>
      </c>
      <c r="C131" s="187"/>
      <c r="D131" s="197"/>
      <c r="E131" s="187"/>
      <c r="F131" s="187"/>
      <c r="G131" s="197"/>
      <c r="H131" s="188">
        <v>56760</v>
      </c>
      <c r="I131" s="188">
        <v>56760</v>
      </c>
      <c r="J131" s="172">
        <f t="shared" si="1"/>
        <v>0</v>
      </c>
      <c r="K131" s="189">
        <v>50</v>
      </c>
      <c r="L131" s="174"/>
      <c r="M131" s="179"/>
      <c r="N131" s="179"/>
      <c r="O131" s="185"/>
    </row>
    <row r="132" spans="1:15" ht="12.75">
      <c r="A132" s="186" t="s">
        <v>224</v>
      </c>
      <c r="B132" s="187" t="s">
        <v>36</v>
      </c>
      <c r="C132" s="187"/>
      <c r="D132" s="197"/>
      <c r="E132" s="187"/>
      <c r="F132" s="187"/>
      <c r="G132" s="197"/>
      <c r="H132" s="188">
        <v>665486.4</v>
      </c>
      <c r="I132" s="188">
        <v>665486.4</v>
      </c>
      <c r="J132" s="172">
        <f t="shared" si="1"/>
        <v>0</v>
      </c>
      <c r="K132" s="189">
        <v>51</v>
      </c>
      <c r="L132" s="174"/>
      <c r="M132" s="179"/>
      <c r="N132" s="179"/>
      <c r="O132" s="185"/>
    </row>
    <row r="133" spans="1:15" ht="12.75">
      <c r="A133" s="186" t="s">
        <v>225</v>
      </c>
      <c r="B133" s="187" t="s">
        <v>36</v>
      </c>
      <c r="C133" s="187"/>
      <c r="D133" s="197"/>
      <c r="E133" s="187"/>
      <c r="F133" s="187"/>
      <c r="G133" s="197"/>
      <c r="H133" s="188">
        <v>155094.92</v>
      </c>
      <c r="I133" s="188">
        <v>155094.92</v>
      </c>
      <c r="J133" s="172">
        <f t="shared" si="1"/>
        <v>0</v>
      </c>
      <c r="K133" s="189">
        <v>52</v>
      </c>
      <c r="L133" s="174"/>
      <c r="M133" s="179"/>
      <c r="N133" s="179"/>
      <c r="O133" s="185"/>
    </row>
    <row r="134" spans="1:15" ht="12.75">
      <c r="A134" s="186" t="s">
        <v>226</v>
      </c>
      <c r="B134" s="187" t="s">
        <v>36</v>
      </c>
      <c r="C134" s="187"/>
      <c r="D134" s="197"/>
      <c r="E134" s="187"/>
      <c r="F134" s="187"/>
      <c r="G134" s="197"/>
      <c r="H134" s="188">
        <v>1402017.6</v>
      </c>
      <c r="I134" s="188">
        <v>1402017.6</v>
      </c>
      <c r="J134" s="172">
        <f t="shared" si="1"/>
        <v>0</v>
      </c>
      <c r="K134" s="189">
        <v>53</v>
      </c>
      <c r="L134" s="174"/>
      <c r="M134" s="179"/>
      <c r="N134" s="179"/>
      <c r="O134" s="185"/>
    </row>
    <row r="135" spans="1:15" ht="12.75">
      <c r="A135" s="186" t="s">
        <v>227</v>
      </c>
      <c r="B135" s="187" t="s">
        <v>36</v>
      </c>
      <c r="C135" s="187"/>
      <c r="D135" s="197"/>
      <c r="E135" s="187"/>
      <c r="F135" s="187"/>
      <c r="G135" s="197"/>
      <c r="H135" s="188">
        <v>195830.76</v>
      </c>
      <c r="I135" s="188">
        <v>195830.76</v>
      </c>
      <c r="J135" s="172">
        <f t="shared" si="1"/>
        <v>0</v>
      </c>
      <c r="K135" s="189">
        <v>54</v>
      </c>
      <c r="L135" s="174"/>
      <c r="M135" s="179"/>
      <c r="N135" s="179"/>
      <c r="O135" s="185"/>
    </row>
    <row r="136" spans="1:15" ht="12.75">
      <c r="A136" s="186" t="s">
        <v>228</v>
      </c>
      <c r="B136" s="187" t="s">
        <v>36</v>
      </c>
      <c r="C136" s="187"/>
      <c r="D136" s="197"/>
      <c r="E136" s="187"/>
      <c r="F136" s="187"/>
      <c r="G136" s="197"/>
      <c r="H136" s="188">
        <v>93421</v>
      </c>
      <c r="I136" s="188">
        <v>93421</v>
      </c>
      <c r="J136" s="172">
        <f t="shared" si="1"/>
        <v>0</v>
      </c>
      <c r="K136" s="189">
        <v>55</v>
      </c>
      <c r="L136" s="174"/>
      <c r="M136" s="179"/>
      <c r="N136" s="179"/>
      <c r="O136" s="185"/>
    </row>
    <row r="137" spans="1:15" ht="12.75">
      <c r="A137" s="186" t="s">
        <v>229</v>
      </c>
      <c r="B137" s="187" t="s">
        <v>36</v>
      </c>
      <c r="C137" s="187"/>
      <c r="D137" s="197"/>
      <c r="E137" s="187"/>
      <c r="F137" s="187"/>
      <c r="G137" s="197"/>
      <c r="H137" s="188">
        <v>307015.42</v>
      </c>
      <c r="I137" s="188">
        <v>307015.42</v>
      </c>
      <c r="J137" s="172">
        <f aca="true" t="shared" si="2" ref="J137:J189">H137-I137</f>
        <v>0</v>
      </c>
      <c r="K137" s="189">
        <v>56</v>
      </c>
      <c r="L137" s="174"/>
      <c r="M137" s="179"/>
      <c r="N137" s="179"/>
      <c r="O137" s="185"/>
    </row>
    <row r="138" spans="1:15" ht="12.75">
      <c r="A138" s="186" t="s">
        <v>230</v>
      </c>
      <c r="B138" s="187" t="s">
        <v>36</v>
      </c>
      <c r="C138" s="187"/>
      <c r="D138" s="197"/>
      <c r="E138" s="187"/>
      <c r="F138" s="187"/>
      <c r="G138" s="197"/>
      <c r="H138" s="188">
        <v>274867.97</v>
      </c>
      <c r="I138" s="188">
        <v>274867.97</v>
      </c>
      <c r="J138" s="172">
        <f t="shared" si="2"/>
        <v>0</v>
      </c>
      <c r="K138" s="189">
        <v>57</v>
      </c>
      <c r="L138" s="174"/>
      <c r="M138" s="179"/>
      <c r="N138" s="179"/>
      <c r="O138" s="185"/>
    </row>
    <row r="139" spans="1:15" ht="12.75">
      <c r="A139" s="186" t="s">
        <v>231</v>
      </c>
      <c r="B139" s="187" t="s">
        <v>36</v>
      </c>
      <c r="C139" s="187"/>
      <c r="D139" s="197"/>
      <c r="E139" s="187"/>
      <c r="F139" s="187"/>
      <c r="G139" s="197"/>
      <c r="H139" s="188">
        <v>820459.64</v>
      </c>
      <c r="I139" s="188">
        <v>820459.64</v>
      </c>
      <c r="J139" s="172">
        <f t="shared" si="2"/>
        <v>0</v>
      </c>
      <c r="K139" s="189">
        <v>58</v>
      </c>
      <c r="L139" s="174"/>
      <c r="M139" s="179"/>
      <c r="N139" s="179"/>
      <c r="O139" s="185"/>
    </row>
    <row r="140" spans="1:15" ht="12.75">
      <c r="A140" s="186" t="s">
        <v>232</v>
      </c>
      <c r="B140" s="187" t="s">
        <v>36</v>
      </c>
      <c r="C140" s="187"/>
      <c r="D140" s="197"/>
      <c r="E140" s="187"/>
      <c r="F140" s="187"/>
      <c r="G140" s="197"/>
      <c r="H140" s="188">
        <v>26684.44</v>
      </c>
      <c r="I140" s="188">
        <v>26684.44</v>
      </c>
      <c r="J140" s="172">
        <f t="shared" si="2"/>
        <v>0</v>
      </c>
      <c r="K140" s="189">
        <v>59</v>
      </c>
      <c r="L140" s="174"/>
      <c r="M140" s="179"/>
      <c r="N140" s="179"/>
      <c r="O140" s="185"/>
    </row>
    <row r="141" spans="1:15" ht="12.75">
      <c r="A141" s="186" t="s">
        <v>233</v>
      </c>
      <c r="B141" s="187" t="s">
        <v>36</v>
      </c>
      <c r="C141" s="187"/>
      <c r="D141" s="197"/>
      <c r="E141" s="187"/>
      <c r="F141" s="187"/>
      <c r="G141" s="197"/>
      <c r="H141" s="188">
        <v>454694.9</v>
      </c>
      <c r="I141" s="188">
        <v>454694.9</v>
      </c>
      <c r="J141" s="172">
        <f t="shared" si="2"/>
        <v>0</v>
      </c>
      <c r="K141" s="189">
        <v>60</v>
      </c>
      <c r="L141" s="174"/>
      <c r="M141" s="179"/>
      <c r="N141" s="179"/>
      <c r="O141" s="185"/>
    </row>
    <row r="142" spans="1:15" ht="12.75">
      <c r="A142" s="186" t="s">
        <v>234</v>
      </c>
      <c r="B142" s="187" t="s">
        <v>36</v>
      </c>
      <c r="C142" s="187"/>
      <c r="D142" s="197"/>
      <c r="E142" s="187"/>
      <c r="F142" s="187"/>
      <c r="G142" s="197"/>
      <c r="H142" s="188">
        <v>320710.57</v>
      </c>
      <c r="I142" s="188">
        <v>320710.57</v>
      </c>
      <c r="J142" s="172">
        <f t="shared" si="2"/>
        <v>0</v>
      </c>
      <c r="K142" s="189">
        <v>61</v>
      </c>
      <c r="L142" s="174"/>
      <c r="M142" s="179"/>
      <c r="N142" s="179"/>
      <c r="O142" s="185"/>
    </row>
    <row r="143" spans="1:15" ht="12.75">
      <c r="A143" s="186" t="s">
        <v>235</v>
      </c>
      <c r="B143" s="187" t="s">
        <v>36</v>
      </c>
      <c r="C143" s="187"/>
      <c r="D143" s="197"/>
      <c r="E143" s="187"/>
      <c r="F143" s="187"/>
      <c r="G143" s="197"/>
      <c r="H143" s="188">
        <v>42948.4</v>
      </c>
      <c r="I143" s="188">
        <v>42948.4</v>
      </c>
      <c r="J143" s="172">
        <f t="shared" si="2"/>
        <v>0</v>
      </c>
      <c r="K143" s="189">
        <v>62</v>
      </c>
      <c r="L143" s="174"/>
      <c r="M143" s="179"/>
      <c r="N143" s="179"/>
      <c r="O143" s="185"/>
    </row>
    <row r="144" spans="1:15" ht="12.75">
      <c r="A144" s="186" t="s">
        <v>236</v>
      </c>
      <c r="B144" s="187" t="s">
        <v>36</v>
      </c>
      <c r="C144" s="187"/>
      <c r="D144" s="197"/>
      <c r="E144" s="187"/>
      <c r="F144" s="187"/>
      <c r="G144" s="197"/>
      <c r="H144" s="188">
        <v>359510.4</v>
      </c>
      <c r="I144" s="188">
        <v>359510.4</v>
      </c>
      <c r="J144" s="172">
        <f t="shared" si="2"/>
        <v>0</v>
      </c>
      <c r="K144" s="189">
        <v>63</v>
      </c>
      <c r="L144" s="174"/>
      <c r="M144" s="179"/>
      <c r="N144" s="179"/>
      <c r="O144" s="185"/>
    </row>
    <row r="145" spans="1:15" ht="12.75">
      <c r="A145" s="186" t="s">
        <v>237</v>
      </c>
      <c r="B145" s="187" t="s">
        <v>36</v>
      </c>
      <c r="C145" s="187"/>
      <c r="D145" s="197"/>
      <c r="E145" s="187"/>
      <c r="F145" s="187"/>
      <c r="G145" s="197"/>
      <c r="H145" s="188">
        <v>621383.84</v>
      </c>
      <c r="I145" s="188">
        <v>621383.84</v>
      </c>
      <c r="J145" s="172">
        <f t="shared" si="2"/>
        <v>0</v>
      </c>
      <c r="K145" s="189">
        <v>64</v>
      </c>
      <c r="L145" s="174"/>
      <c r="M145" s="179"/>
      <c r="N145" s="179"/>
      <c r="O145" s="185"/>
    </row>
    <row r="146" spans="1:15" ht="12.75">
      <c r="A146" s="186" t="s">
        <v>238</v>
      </c>
      <c r="B146" s="187" t="s">
        <v>36</v>
      </c>
      <c r="C146" s="187"/>
      <c r="D146" s="197"/>
      <c r="E146" s="187"/>
      <c r="F146" s="187"/>
      <c r="G146" s="197"/>
      <c r="H146" s="188">
        <v>42330.04</v>
      </c>
      <c r="I146" s="188">
        <v>42330.04</v>
      </c>
      <c r="J146" s="172">
        <f t="shared" si="2"/>
        <v>0</v>
      </c>
      <c r="K146" s="189">
        <v>65</v>
      </c>
      <c r="L146" s="174"/>
      <c r="M146" s="179"/>
      <c r="N146" s="179"/>
      <c r="O146" s="185"/>
    </row>
    <row r="147" spans="1:15" ht="12.75">
      <c r="A147" s="186" t="s">
        <v>239</v>
      </c>
      <c r="B147" s="187" t="s">
        <v>36</v>
      </c>
      <c r="C147" s="187"/>
      <c r="D147" s="197"/>
      <c r="E147" s="187"/>
      <c r="F147" s="187"/>
      <c r="G147" s="197"/>
      <c r="H147" s="188">
        <v>771841.4</v>
      </c>
      <c r="I147" s="188">
        <v>771841.4</v>
      </c>
      <c r="J147" s="172">
        <f t="shared" si="2"/>
        <v>0</v>
      </c>
      <c r="K147" s="189">
        <v>66</v>
      </c>
      <c r="L147" s="174"/>
      <c r="M147" s="179"/>
      <c r="N147" s="179"/>
      <c r="O147" s="185"/>
    </row>
    <row r="148" spans="1:15" ht="12.75">
      <c r="A148" s="186" t="s">
        <v>240</v>
      </c>
      <c r="B148" s="187" t="s">
        <v>36</v>
      </c>
      <c r="C148" s="187"/>
      <c r="D148" s="197"/>
      <c r="E148" s="187"/>
      <c r="F148" s="187"/>
      <c r="G148" s="197"/>
      <c r="H148" s="188">
        <v>78826.7</v>
      </c>
      <c r="I148" s="188">
        <v>78826.7</v>
      </c>
      <c r="J148" s="172">
        <f t="shared" si="2"/>
        <v>0</v>
      </c>
      <c r="K148" s="189">
        <v>67</v>
      </c>
      <c r="L148" s="174"/>
      <c r="M148" s="179"/>
      <c r="N148" s="179"/>
      <c r="O148" s="185"/>
    </row>
    <row r="149" spans="1:15" ht="12.75">
      <c r="A149" s="186" t="s">
        <v>241</v>
      </c>
      <c r="B149" s="187" t="s">
        <v>36</v>
      </c>
      <c r="C149" s="187"/>
      <c r="D149" s="197"/>
      <c r="E149" s="187"/>
      <c r="F149" s="187"/>
      <c r="G149" s="197"/>
      <c r="H149" s="188">
        <v>34296.87</v>
      </c>
      <c r="I149" s="188">
        <v>34296.87</v>
      </c>
      <c r="J149" s="172">
        <f t="shared" si="2"/>
        <v>0</v>
      </c>
      <c r="K149" s="189">
        <v>68</v>
      </c>
      <c r="L149" s="174"/>
      <c r="M149" s="179"/>
      <c r="N149" s="179"/>
      <c r="O149" s="185"/>
    </row>
    <row r="150" spans="1:15" ht="12.75">
      <c r="A150" s="186" t="s">
        <v>242</v>
      </c>
      <c r="B150" s="187" t="s">
        <v>36</v>
      </c>
      <c r="C150" s="187"/>
      <c r="D150" s="197"/>
      <c r="E150" s="187"/>
      <c r="F150" s="187"/>
      <c r="G150" s="197"/>
      <c r="H150" s="188">
        <v>55891.88</v>
      </c>
      <c r="I150" s="188">
        <v>55891.88</v>
      </c>
      <c r="J150" s="172">
        <f t="shared" si="2"/>
        <v>0</v>
      </c>
      <c r="K150" s="189">
        <v>69</v>
      </c>
      <c r="L150" s="174"/>
      <c r="M150" s="179"/>
      <c r="N150" s="179"/>
      <c r="O150" s="185"/>
    </row>
    <row r="151" spans="1:15" ht="12.75">
      <c r="A151" s="186" t="s">
        <v>243</v>
      </c>
      <c r="B151" s="187" t="s">
        <v>36</v>
      </c>
      <c r="C151" s="187"/>
      <c r="D151" s="197"/>
      <c r="E151" s="187"/>
      <c r="F151" s="187"/>
      <c r="G151" s="197"/>
      <c r="H151" s="188">
        <v>60556.8</v>
      </c>
      <c r="I151" s="188">
        <v>60556.8</v>
      </c>
      <c r="J151" s="172">
        <f t="shared" si="2"/>
        <v>0</v>
      </c>
      <c r="K151" s="189">
        <v>70</v>
      </c>
      <c r="L151" s="174"/>
      <c r="M151" s="179"/>
      <c r="N151" s="179"/>
      <c r="O151" s="185"/>
    </row>
    <row r="152" spans="1:15" ht="12.75">
      <c r="A152" s="186" t="s">
        <v>244</v>
      </c>
      <c r="B152" s="187" t="s">
        <v>36</v>
      </c>
      <c r="C152" s="187"/>
      <c r="D152" s="197"/>
      <c r="E152" s="187"/>
      <c r="F152" s="187"/>
      <c r="G152" s="197"/>
      <c r="H152" s="188">
        <v>61442.7</v>
      </c>
      <c r="I152" s="188">
        <v>61442.7</v>
      </c>
      <c r="J152" s="172">
        <f t="shared" si="2"/>
        <v>0</v>
      </c>
      <c r="K152" s="189">
        <v>71</v>
      </c>
      <c r="L152" s="174"/>
      <c r="M152" s="179"/>
      <c r="N152" s="179"/>
      <c r="O152" s="185"/>
    </row>
    <row r="153" spans="1:15" ht="12.75">
      <c r="A153" s="186" t="s">
        <v>245</v>
      </c>
      <c r="B153" s="187" t="s">
        <v>36</v>
      </c>
      <c r="C153" s="187"/>
      <c r="D153" s="197"/>
      <c r="E153" s="187"/>
      <c r="F153" s="187"/>
      <c r="G153" s="197"/>
      <c r="H153" s="188">
        <v>509744.5</v>
      </c>
      <c r="I153" s="188">
        <v>509744.5</v>
      </c>
      <c r="J153" s="172">
        <f t="shared" si="2"/>
        <v>0</v>
      </c>
      <c r="K153" s="189">
        <v>72</v>
      </c>
      <c r="L153" s="174"/>
      <c r="M153" s="179"/>
      <c r="N153" s="179"/>
      <c r="O153" s="185"/>
    </row>
    <row r="154" spans="1:15" ht="12.75">
      <c r="A154" s="186" t="s">
        <v>246</v>
      </c>
      <c r="B154" s="187" t="s">
        <v>36</v>
      </c>
      <c r="C154" s="187"/>
      <c r="D154" s="197"/>
      <c r="E154" s="187"/>
      <c r="F154" s="187"/>
      <c r="G154" s="197"/>
      <c r="H154" s="188">
        <v>4616.00000000001</v>
      </c>
      <c r="I154" s="188">
        <v>4616.00000000001</v>
      </c>
      <c r="J154" s="172">
        <f t="shared" si="2"/>
        <v>0</v>
      </c>
      <c r="K154" s="189">
        <v>73</v>
      </c>
      <c r="L154" s="174"/>
      <c r="M154" s="179"/>
      <c r="N154" s="179"/>
      <c r="O154" s="185"/>
    </row>
    <row r="155" spans="1:15" ht="12.75">
      <c r="A155" s="186" t="s">
        <v>247</v>
      </c>
      <c r="B155" s="187" t="s">
        <v>36</v>
      </c>
      <c r="C155" s="187"/>
      <c r="D155" s="197"/>
      <c r="E155" s="187"/>
      <c r="F155" s="187"/>
      <c r="G155" s="197"/>
      <c r="H155" s="188">
        <v>200030.6</v>
      </c>
      <c r="I155" s="188">
        <v>200030.6</v>
      </c>
      <c r="J155" s="172">
        <f t="shared" si="2"/>
        <v>0</v>
      </c>
      <c r="K155" s="189">
        <v>74</v>
      </c>
      <c r="L155" s="174"/>
      <c r="M155" s="179"/>
      <c r="N155" s="179"/>
      <c r="O155" s="185"/>
    </row>
    <row r="156" spans="1:15" ht="12.75">
      <c r="A156" s="186" t="s">
        <v>248</v>
      </c>
      <c r="B156" s="187" t="s">
        <v>36</v>
      </c>
      <c r="C156" s="187"/>
      <c r="D156" s="197"/>
      <c r="E156" s="187"/>
      <c r="F156" s="187"/>
      <c r="G156" s="197"/>
      <c r="H156" s="188">
        <v>99093.5</v>
      </c>
      <c r="I156" s="188">
        <v>99093.5</v>
      </c>
      <c r="J156" s="172">
        <f t="shared" si="2"/>
        <v>0</v>
      </c>
      <c r="K156" s="189">
        <v>75</v>
      </c>
      <c r="L156" s="174"/>
      <c r="M156" s="179"/>
      <c r="N156" s="179"/>
      <c r="O156" s="185"/>
    </row>
    <row r="157" spans="1:15" ht="12.75">
      <c r="A157" s="186" t="s">
        <v>249</v>
      </c>
      <c r="B157" s="187" t="s">
        <v>36</v>
      </c>
      <c r="C157" s="187"/>
      <c r="D157" s="197"/>
      <c r="E157" s="187"/>
      <c r="F157" s="187"/>
      <c r="G157" s="197"/>
      <c r="H157" s="188">
        <v>189336.84</v>
      </c>
      <c r="I157" s="188">
        <v>189336.84</v>
      </c>
      <c r="J157" s="172">
        <f t="shared" si="2"/>
        <v>0</v>
      </c>
      <c r="K157" s="189">
        <v>76</v>
      </c>
      <c r="L157" s="174"/>
      <c r="M157" s="179"/>
      <c r="N157" s="179"/>
      <c r="O157" s="185"/>
    </row>
    <row r="158" spans="1:15" ht="12.75">
      <c r="A158" s="186" t="s">
        <v>250</v>
      </c>
      <c r="B158" s="187" t="s">
        <v>36</v>
      </c>
      <c r="C158" s="187"/>
      <c r="D158" s="197"/>
      <c r="E158" s="187"/>
      <c r="F158" s="187"/>
      <c r="G158" s="197"/>
      <c r="H158" s="188">
        <v>105904.7</v>
      </c>
      <c r="I158" s="188">
        <v>105904.7</v>
      </c>
      <c r="J158" s="172">
        <f t="shared" si="2"/>
        <v>0</v>
      </c>
      <c r="K158" s="189">
        <v>77</v>
      </c>
      <c r="L158" s="174"/>
      <c r="M158" s="179"/>
      <c r="N158" s="179"/>
      <c r="O158" s="185"/>
    </row>
    <row r="159" spans="1:15" ht="12.75">
      <c r="A159" s="186" t="s">
        <v>251</v>
      </c>
      <c r="B159" s="187" t="s">
        <v>36</v>
      </c>
      <c r="C159" s="187"/>
      <c r="D159" s="197"/>
      <c r="E159" s="187"/>
      <c r="F159" s="187"/>
      <c r="G159" s="197"/>
      <c r="H159" s="188">
        <v>778881.95</v>
      </c>
      <c r="I159" s="188">
        <v>778881.95</v>
      </c>
      <c r="J159" s="172">
        <f t="shared" si="2"/>
        <v>0</v>
      </c>
      <c r="K159" s="189">
        <v>78</v>
      </c>
      <c r="L159" s="174"/>
      <c r="M159" s="179"/>
      <c r="N159" s="179"/>
      <c r="O159" s="185"/>
    </row>
    <row r="160" spans="1:15" ht="12.75">
      <c r="A160" s="186" t="s">
        <v>252</v>
      </c>
      <c r="B160" s="187" t="s">
        <v>36</v>
      </c>
      <c r="C160" s="187"/>
      <c r="D160" s="197"/>
      <c r="E160" s="187"/>
      <c r="F160" s="187"/>
      <c r="G160" s="197"/>
      <c r="H160" s="188">
        <v>553894.52</v>
      </c>
      <c r="I160" s="188">
        <v>553894.52</v>
      </c>
      <c r="J160" s="172">
        <f t="shared" si="2"/>
        <v>0</v>
      </c>
      <c r="K160" s="189">
        <v>79</v>
      </c>
      <c r="L160" s="174"/>
      <c r="M160" s="179"/>
      <c r="N160" s="179"/>
      <c r="O160" s="185"/>
    </row>
    <row r="161" spans="1:15" ht="12.75">
      <c r="A161" s="186" t="s">
        <v>253</v>
      </c>
      <c r="B161" s="187" t="s">
        <v>36</v>
      </c>
      <c r="C161" s="187"/>
      <c r="D161" s="197"/>
      <c r="E161" s="187"/>
      <c r="F161" s="187"/>
      <c r="G161" s="197"/>
      <c r="H161" s="188">
        <v>41438.32</v>
      </c>
      <c r="I161" s="188">
        <v>41438.32</v>
      </c>
      <c r="J161" s="172">
        <f t="shared" si="2"/>
        <v>0</v>
      </c>
      <c r="K161" s="189">
        <v>80</v>
      </c>
      <c r="L161" s="174"/>
      <c r="M161" s="179"/>
      <c r="N161" s="179"/>
      <c r="O161" s="185"/>
    </row>
    <row r="162" spans="1:15" ht="12.75">
      <c r="A162" s="186" t="s">
        <v>254</v>
      </c>
      <c r="B162" s="187" t="s">
        <v>36</v>
      </c>
      <c r="C162" s="187"/>
      <c r="D162" s="197"/>
      <c r="E162" s="187"/>
      <c r="F162" s="187"/>
      <c r="G162" s="197"/>
      <c r="H162" s="188">
        <v>61645.04</v>
      </c>
      <c r="I162" s="188">
        <v>61645.04</v>
      </c>
      <c r="J162" s="172">
        <f t="shared" si="2"/>
        <v>0</v>
      </c>
      <c r="K162" s="189">
        <v>81</v>
      </c>
      <c r="L162" s="174"/>
      <c r="M162" s="179"/>
      <c r="N162" s="179"/>
      <c r="O162" s="185"/>
    </row>
    <row r="163" spans="1:15" ht="12.75">
      <c r="A163" s="186" t="s">
        <v>255</v>
      </c>
      <c r="B163" s="187" t="s">
        <v>36</v>
      </c>
      <c r="C163" s="187"/>
      <c r="D163" s="197"/>
      <c r="E163" s="187"/>
      <c r="F163" s="187"/>
      <c r="G163" s="197"/>
      <c r="H163" s="188">
        <v>176665.5</v>
      </c>
      <c r="I163" s="188">
        <v>176665.5</v>
      </c>
      <c r="J163" s="172">
        <f t="shared" si="2"/>
        <v>0</v>
      </c>
      <c r="K163" s="189">
        <v>82</v>
      </c>
      <c r="L163" s="174"/>
      <c r="M163" s="179"/>
      <c r="N163" s="179"/>
      <c r="O163" s="185"/>
    </row>
    <row r="164" spans="1:15" ht="12.75">
      <c r="A164" s="186" t="s">
        <v>256</v>
      </c>
      <c r="B164" s="187" t="s">
        <v>36</v>
      </c>
      <c r="C164" s="187"/>
      <c r="D164" s="197"/>
      <c r="E164" s="187"/>
      <c r="F164" s="187"/>
      <c r="G164" s="197"/>
      <c r="H164" s="188">
        <v>72252.81</v>
      </c>
      <c r="I164" s="188">
        <v>72252.81</v>
      </c>
      <c r="J164" s="172">
        <f t="shared" si="2"/>
        <v>0</v>
      </c>
      <c r="K164" s="189">
        <v>83</v>
      </c>
      <c r="L164" s="174"/>
      <c r="M164" s="179"/>
      <c r="N164" s="179"/>
      <c r="O164" s="185"/>
    </row>
    <row r="165" spans="1:15" ht="12.75">
      <c r="A165" s="186" t="s">
        <v>257</v>
      </c>
      <c r="B165" s="187" t="s">
        <v>36</v>
      </c>
      <c r="C165" s="187"/>
      <c r="D165" s="197"/>
      <c r="E165" s="187"/>
      <c r="F165" s="187"/>
      <c r="G165" s="197"/>
      <c r="H165" s="188">
        <v>195543.04</v>
      </c>
      <c r="I165" s="188">
        <v>195543.04</v>
      </c>
      <c r="J165" s="172">
        <f t="shared" si="2"/>
        <v>0</v>
      </c>
      <c r="K165" s="189">
        <v>84</v>
      </c>
      <c r="L165" s="174"/>
      <c r="M165" s="179"/>
      <c r="N165" s="179"/>
      <c r="O165" s="185"/>
    </row>
    <row r="166" spans="1:15" ht="12.75">
      <c r="A166" s="186" t="s">
        <v>258</v>
      </c>
      <c r="B166" s="187" t="s">
        <v>36</v>
      </c>
      <c r="C166" s="187"/>
      <c r="D166" s="197"/>
      <c r="E166" s="187"/>
      <c r="F166" s="187"/>
      <c r="G166" s="197"/>
      <c r="H166" s="188">
        <v>13205.91</v>
      </c>
      <c r="I166" s="188">
        <v>13205.91</v>
      </c>
      <c r="J166" s="172">
        <f t="shared" si="2"/>
        <v>0</v>
      </c>
      <c r="K166" s="189">
        <v>85</v>
      </c>
      <c r="L166" s="174"/>
      <c r="M166" s="179"/>
      <c r="N166" s="179"/>
      <c r="O166" s="185"/>
    </row>
    <row r="167" spans="1:15" ht="12.75">
      <c r="A167" s="186" t="s">
        <v>259</v>
      </c>
      <c r="B167" s="187" t="s">
        <v>36</v>
      </c>
      <c r="C167" s="187"/>
      <c r="D167" s="197"/>
      <c r="E167" s="187"/>
      <c r="F167" s="187"/>
      <c r="G167" s="197"/>
      <c r="H167" s="188">
        <v>517024.2</v>
      </c>
      <c r="I167" s="188">
        <v>517024.2</v>
      </c>
      <c r="J167" s="172">
        <f t="shared" si="2"/>
        <v>0</v>
      </c>
      <c r="K167" s="189">
        <v>86</v>
      </c>
      <c r="L167" s="174"/>
      <c r="M167" s="179"/>
      <c r="N167" s="179"/>
      <c r="O167" s="185"/>
    </row>
    <row r="168" spans="1:15" ht="12.75">
      <c r="A168" s="186" t="s">
        <v>260</v>
      </c>
      <c r="B168" s="187" t="s">
        <v>36</v>
      </c>
      <c r="C168" s="187"/>
      <c r="D168" s="197"/>
      <c r="E168" s="187"/>
      <c r="F168" s="187"/>
      <c r="G168" s="197"/>
      <c r="H168" s="188">
        <v>158904</v>
      </c>
      <c r="I168" s="188">
        <v>158904</v>
      </c>
      <c r="J168" s="172">
        <f t="shared" si="2"/>
        <v>0</v>
      </c>
      <c r="K168" s="189">
        <v>87</v>
      </c>
      <c r="L168" s="174"/>
      <c r="M168" s="179"/>
      <c r="N168" s="179"/>
      <c r="O168" s="185"/>
    </row>
    <row r="169" spans="1:15" ht="12.75">
      <c r="A169" s="186" t="s">
        <v>261</v>
      </c>
      <c r="B169" s="187" t="s">
        <v>36</v>
      </c>
      <c r="C169" s="187"/>
      <c r="D169" s="197"/>
      <c r="E169" s="187"/>
      <c r="F169" s="187"/>
      <c r="G169" s="197"/>
      <c r="H169" s="188">
        <v>6142.50000000001</v>
      </c>
      <c r="I169" s="188">
        <v>6142.50000000001</v>
      </c>
      <c r="J169" s="172">
        <f t="shared" si="2"/>
        <v>0</v>
      </c>
      <c r="K169" s="189">
        <v>88</v>
      </c>
      <c r="L169" s="174"/>
      <c r="M169" s="179"/>
      <c r="N169" s="179"/>
      <c r="O169" s="185"/>
    </row>
    <row r="170" spans="1:15" ht="12.75">
      <c r="A170" s="186" t="s">
        <v>262</v>
      </c>
      <c r="B170" s="187" t="s">
        <v>36</v>
      </c>
      <c r="C170" s="187"/>
      <c r="D170" s="197"/>
      <c r="E170" s="187"/>
      <c r="F170" s="187"/>
      <c r="G170" s="197"/>
      <c r="H170" s="188">
        <v>2378468.67</v>
      </c>
      <c r="I170" s="188">
        <v>2378468.67</v>
      </c>
      <c r="J170" s="172">
        <f t="shared" si="2"/>
        <v>0</v>
      </c>
      <c r="K170" s="189">
        <v>89</v>
      </c>
      <c r="L170" s="174"/>
      <c r="M170" s="179"/>
      <c r="N170" s="179"/>
      <c r="O170" s="185"/>
    </row>
    <row r="171" spans="1:15" ht="12.75">
      <c r="A171" s="186" t="s">
        <v>263</v>
      </c>
      <c r="B171" s="187" t="s">
        <v>36</v>
      </c>
      <c r="C171" s="187"/>
      <c r="D171" s="197"/>
      <c r="E171" s="187"/>
      <c r="F171" s="187"/>
      <c r="G171" s="197"/>
      <c r="H171" s="188">
        <v>1165362.78</v>
      </c>
      <c r="I171" s="188">
        <v>1165362.78</v>
      </c>
      <c r="J171" s="172">
        <f t="shared" si="2"/>
        <v>0</v>
      </c>
      <c r="K171" s="189">
        <v>90</v>
      </c>
      <c r="L171" s="174"/>
      <c r="M171" s="179"/>
      <c r="N171" s="179"/>
      <c r="O171" s="185"/>
    </row>
    <row r="172" spans="1:15" ht="12.75">
      <c r="A172" s="186" t="s">
        <v>264</v>
      </c>
      <c r="B172" s="187" t="s">
        <v>36</v>
      </c>
      <c r="C172" s="187"/>
      <c r="D172" s="197"/>
      <c r="E172" s="187"/>
      <c r="F172" s="187"/>
      <c r="G172" s="197"/>
      <c r="H172" s="188">
        <v>1152183.16</v>
      </c>
      <c r="I172" s="188">
        <v>1152183.16</v>
      </c>
      <c r="J172" s="172">
        <f t="shared" si="2"/>
        <v>0</v>
      </c>
      <c r="K172" s="189">
        <v>91</v>
      </c>
      <c r="L172" s="174"/>
      <c r="M172" s="179"/>
      <c r="N172" s="179"/>
      <c r="O172" s="185"/>
    </row>
    <row r="173" spans="1:15" ht="12.75">
      <c r="A173" s="186" t="s">
        <v>265</v>
      </c>
      <c r="B173" s="187" t="s">
        <v>36</v>
      </c>
      <c r="C173" s="187"/>
      <c r="D173" s="197"/>
      <c r="E173" s="187"/>
      <c r="F173" s="187"/>
      <c r="G173" s="197"/>
      <c r="H173" s="188">
        <v>456912.88</v>
      </c>
      <c r="I173" s="188">
        <v>456912.88</v>
      </c>
      <c r="J173" s="172">
        <f t="shared" si="2"/>
        <v>0</v>
      </c>
      <c r="K173" s="189">
        <v>92</v>
      </c>
      <c r="L173" s="174"/>
      <c r="M173" s="179"/>
      <c r="N173" s="179"/>
      <c r="O173" s="185"/>
    </row>
    <row r="174" spans="1:15" ht="12.75">
      <c r="A174" s="186" t="s">
        <v>266</v>
      </c>
      <c r="B174" s="187" t="s">
        <v>36</v>
      </c>
      <c r="C174" s="187"/>
      <c r="D174" s="197"/>
      <c r="E174" s="187"/>
      <c r="F174" s="187"/>
      <c r="G174" s="197"/>
      <c r="H174" s="188">
        <v>19573863.82</v>
      </c>
      <c r="I174" s="188">
        <v>19573863.82</v>
      </c>
      <c r="J174" s="172">
        <f t="shared" si="2"/>
        <v>0</v>
      </c>
      <c r="K174" s="189">
        <v>93</v>
      </c>
      <c r="L174" s="174"/>
      <c r="M174" s="179"/>
      <c r="N174" s="179"/>
      <c r="O174" s="185"/>
    </row>
    <row r="175" spans="1:15" ht="12.75">
      <c r="A175" s="186" t="s">
        <v>267</v>
      </c>
      <c r="B175" s="187" t="s">
        <v>36</v>
      </c>
      <c r="C175" s="187"/>
      <c r="D175" s="197"/>
      <c r="E175" s="187"/>
      <c r="F175" s="187"/>
      <c r="G175" s="197"/>
      <c r="H175" s="188">
        <v>3372497.51</v>
      </c>
      <c r="I175" s="188">
        <v>3372497.51</v>
      </c>
      <c r="J175" s="172">
        <f t="shared" si="2"/>
        <v>0</v>
      </c>
      <c r="K175" s="189">
        <v>94</v>
      </c>
      <c r="L175" s="174"/>
      <c r="M175" s="179"/>
      <c r="N175" s="179"/>
      <c r="O175" s="185"/>
    </row>
    <row r="176" spans="1:15" ht="12.75">
      <c r="A176" s="186" t="s">
        <v>268</v>
      </c>
      <c r="B176" s="187" t="s">
        <v>36</v>
      </c>
      <c r="C176" s="187"/>
      <c r="D176" s="197"/>
      <c r="E176" s="187"/>
      <c r="F176" s="187"/>
      <c r="G176" s="197"/>
      <c r="H176" s="188">
        <v>100784.84</v>
      </c>
      <c r="I176" s="188">
        <v>100784.84</v>
      </c>
      <c r="J176" s="172">
        <f t="shared" si="2"/>
        <v>0</v>
      </c>
      <c r="K176" s="189">
        <v>95</v>
      </c>
      <c r="L176" s="174"/>
      <c r="M176" s="179"/>
      <c r="N176" s="179"/>
      <c r="O176" s="185"/>
    </row>
    <row r="177" spans="1:15" ht="12.75">
      <c r="A177" s="186" t="s">
        <v>269</v>
      </c>
      <c r="B177" s="187" t="s">
        <v>36</v>
      </c>
      <c r="C177" s="187"/>
      <c r="D177" s="197"/>
      <c r="E177" s="187"/>
      <c r="F177" s="187"/>
      <c r="G177" s="197"/>
      <c r="H177" s="188">
        <v>2381744.73</v>
      </c>
      <c r="I177" s="188">
        <v>2381744.73</v>
      </c>
      <c r="J177" s="172">
        <f t="shared" si="2"/>
        <v>0</v>
      </c>
      <c r="K177" s="189">
        <v>96</v>
      </c>
      <c r="L177" s="174"/>
      <c r="M177" s="179"/>
      <c r="N177" s="179"/>
      <c r="O177" s="185"/>
    </row>
    <row r="178" spans="1:15" ht="12.75">
      <c r="A178" s="186" t="s">
        <v>270</v>
      </c>
      <c r="B178" s="187" t="s">
        <v>36</v>
      </c>
      <c r="C178" s="187"/>
      <c r="D178" s="197"/>
      <c r="E178" s="187"/>
      <c r="F178" s="187"/>
      <c r="G178" s="197"/>
      <c r="H178" s="188">
        <v>285550.51</v>
      </c>
      <c r="I178" s="188">
        <v>285550.51</v>
      </c>
      <c r="J178" s="172">
        <f t="shared" si="2"/>
        <v>0</v>
      </c>
      <c r="K178" s="189">
        <v>100</v>
      </c>
      <c r="L178" s="174"/>
      <c r="M178" s="179"/>
      <c r="N178" s="179"/>
      <c r="O178" s="185"/>
    </row>
    <row r="179" spans="1:15" ht="12.75">
      <c r="A179" s="186" t="s">
        <v>271</v>
      </c>
      <c r="B179" s="187" t="s">
        <v>36</v>
      </c>
      <c r="C179" s="187"/>
      <c r="D179" s="197"/>
      <c r="E179" s="187"/>
      <c r="F179" s="187"/>
      <c r="G179" s="197"/>
      <c r="H179" s="188">
        <v>7534680.76</v>
      </c>
      <c r="I179" s="188">
        <v>7534680.76</v>
      </c>
      <c r="J179" s="172">
        <f t="shared" si="2"/>
        <v>0</v>
      </c>
      <c r="K179" s="189">
        <v>101</v>
      </c>
      <c r="L179" s="174"/>
      <c r="M179" s="179"/>
      <c r="N179" s="179"/>
      <c r="O179" s="185"/>
    </row>
    <row r="180" spans="1:15" ht="12.75">
      <c r="A180" s="186" t="s">
        <v>272</v>
      </c>
      <c r="B180" s="187" t="s">
        <v>36</v>
      </c>
      <c r="C180" s="187"/>
      <c r="D180" s="197"/>
      <c r="E180" s="187"/>
      <c r="F180" s="187"/>
      <c r="G180" s="197"/>
      <c r="H180" s="188">
        <v>262531.46</v>
      </c>
      <c r="I180" s="188">
        <v>262531.46</v>
      </c>
      <c r="J180" s="172">
        <f t="shared" si="2"/>
        <v>0</v>
      </c>
      <c r="K180" s="189">
        <v>102</v>
      </c>
      <c r="L180" s="174"/>
      <c r="M180" s="179"/>
      <c r="N180" s="179"/>
      <c r="O180" s="185"/>
    </row>
    <row r="181" spans="1:15" ht="12.75">
      <c r="A181" s="186" t="s">
        <v>273</v>
      </c>
      <c r="B181" s="187" t="s">
        <v>36</v>
      </c>
      <c r="C181" s="187"/>
      <c r="D181" s="197"/>
      <c r="E181" s="187"/>
      <c r="F181" s="187"/>
      <c r="G181" s="197"/>
      <c r="H181" s="188">
        <v>28562.79</v>
      </c>
      <c r="I181" s="188">
        <v>28562.79</v>
      </c>
      <c r="J181" s="172">
        <f t="shared" si="2"/>
        <v>0</v>
      </c>
      <c r="K181" s="189">
        <v>0</v>
      </c>
      <c r="L181" s="174"/>
      <c r="M181" s="179"/>
      <c r="N181" s="179"/>
      <c r="O181" s="185"/>
    </row>
    <row r="182" spans="1:15" ht="12.75">
      <c r="A182" s="186" t="s">
        <v>274</v>
      </c>
      <c r="B182" s="187" t="s">
        <v>36</v>
      </c>
      <c r="C182" s="187"/>
      <c r="D182" s="197"/>
      <c r="E182" s="187"/>
      <c r="F182" s="187"/>
      <c r="G182" s="197"/>
      <c r="H182" s="188">
        <v>396.88</v>
      </c>
      <c r="I182" s="188">
        <v>396.88</v>
      </c>
      <c r="J182" s="172">
        <f t="shared" si="2"/>
        <v>0</v>
      </c>
      <c r="K182" s="189">
        <v>0</v>
      </c>
      <c r="L182" s="174"/>
      <c r="M182" s="179"/>
      <c r="N182" s="179"/>
      <c r="O182" s="185"/>
    </row>
    <row r="183" spans="1:15" ht="12.75">
      <c r="A183" s="186" t="s">
        <v>275</v>
      </c>
      <c r="B183" s="187" t="s">
        <v>36</v>
      </c>
      <c r="C183" s="187"/>
      <c r="D183" s="197"/>
      <c r="E183" s="187"/>
      <c r="F183" s="187"/>
      <c r="G183" s="197"/>
      <c r="H183" s="188">
        <v>295.29</v>
      </c>
      <c r="I183" s="188">
        <v>295.29</v>
      </c>
      <c r="J183" s="172">
        <f t="shared" si="2"/>
        <v>0</v>
      </c>
      <c r="K183" s="189">
        <v>0</v>
      </c>
      <c r="L183" s="174"/>
      <c r="M183" s="179"/>
      <c r="N183" s="179"/>
      <c r="O183" s="185"/>
    </row>
    <row r="184" spans="1:15" ht="12.75">
      <c r="A184" s="186" t="s">
        <v>276</v>
      </c>
      <c r="B184" s="187" t="s">
        <v>51</v>
      </c>
      <c r="C184" s="187"/>
      <c r="D184" s="197">
        <v>1</v>
      </c>
      <c r="E184" s="187"/>
      <c r="F184" s="187"/>
      <c r="G184" s="197">
        <v>1</v>
      </c>
      <c r="H184" s="188">
        <v>10782.09</v>
      </c>
      <c r="I184" s="188">
        <v>10669.38</v>
      </c>
      <c r="J184" s="172">
        <f t="shared" si="2"/>
        <v>112.71000000000095</v>
      </c>
      <c r="K184" s="189">
        <v>0</v>
      </c>
      <c r="L184" s="174"/>
      <c r="M184" s="179"/>
      <c r="N184" s="179"/>
      <c r="O184" s="185"/>
    </row>
    <row r="185" spans="1:15" ht="12.75">
      <c r="A185" s="186" t="s">
        <v>277</v>
      </c>
      <c r="B185" s="187" t="s">
        <v>36</v>
      </c>
      <c r="C185" s="187"/>
      <c r="D185" s="197"/>
      <c r="E185" s="187"/>
      <c r="F185" s="187"/>
      <c r="G185" s="197"/>
      <c r="H185" s="188">
        <v>249.67</v>
      </c>
      <c r="I185" s="188">
        <v>249.67</v>
      </c>
      <c r="J185" s="172">
        <f t="shared" si="2"/>
        <v>0</v>
      </c>
      <c r="K185" s="189">
        <v>0</v>
      </c>
      <c r="L185" s="174"/>
      <c r="M185" s="179"/>
      <c r="N185" s="179"/>
      <c r="O185" s="185"/>
    </row>
    <row r="186" spans="1:15" ht="12.75">
      <c r="A186" s="186" t="s">
        <v>278</v>
      </c>
      <c r="B186" s="187" t="s">
        <v>36</v>
      </c>
      <c r="C186" s="187"/>
      <c r="D186" s="197"/>
      <c r="E186" s="187"/>
      <c r="F186" s="187"/>
      <c r="G186" s="197"/>
      <c r="H186" s="188">
        <v>481.68</v>
      </c>
      <c r="I186" s="188">
        <v>481.68</v>
      </c>
      <c r="J186" s="172">
        <f t="shared" si="2"/>
        <v>0</v>
      </c>
      <c r="K186" s="189">
        <v>0</v>
      </c>
      <c r="L186" s="174"/>
      <c r="M186" s="179"/>
      <c r="N186" s="179"/>
      <c r="O186" s="185"/>
    </row>
    <row r="187" spans="1:15" ht="12.75">
      <c r="A187" s="186" t="s">
        <v>279</v>
      </c>
      <c r="B187" s="187" t="s">
        <v>36</v>
      </c>
      <c r="C187" s="187"/>
      <c r="D187" s="197"/>
      <c r="E187" s="187"/>
      <c r="F187" s="187"/>
      <c r="G187" s="197"/>
      <c r="H187" s="188">
        <v>647.38</v>
      </c>
      <c r="I187" s="188">
        <v>647.38</v>
      </c>
      <c r="J187" s="172">
        <f t="shared" si="2"/>
        <v>0</v>
      </c>
      <c r="K187" s="189">
        <v>0</v>
      </c>
      <c r="L187" s="174"/>
      <c r="M187" s="179"/>
      <c r="N187" s="179"/>
      <c r="O187" s="185"/>
    </row>
    <row r="188" spans="1:15" ht="12.75">
      <c r="A188" s="186" t="s">
        <v>280</v>
      </c>
      <c r="B188" s="187" t="s">
        <v>51</v>
      </c>
      <c r="C188" s="187"/>
      <c r="D188" s="197">
        <v>1</v>
      </c>
      <c r="E188" s="187"/>
      <c r="F188" s="187"/>
      <c r="G188" s="197">
        <v>1</v>
      </c>
      <c r="H188" s="188">
        <v>459.82</v>
      </c>
      <c r="I188" s="188">
        <v>459.14</v>
      </c>
      <c r="J188" s="172">
        <f t="shared" si="2"/>
        <v>0.6800000000000068</v>
      </c>
      <c r="K188" s="189">
        <v>0</v>
      </c>
      <c r="L188" s="174"/>
      <c r="M188" s="179"/>
      <c r="N188" s="179"/>
      <c r="O188" s="185"/>
    </row>
    <row r="189" spans="1:15" ht="12.75">
      <c r="A189" s="186" t="s">
        <v>281</v>
      </c>
      <c r="B189" s="187" t="s">
        <v>51</v>
      </c>
      <c r="C189" s="187"/>
      <c r="D189" s="197">
        <v>1</v>
      </c>
      <c r="E189" s="187"/>
      <c r="F189" s="187"/>
      <c r="G189" s="197">
        <v>1</v>
      </c>
      <c r="H189" s="188">
        <v>451.74</v>
      </c>
      <c r="I189" s="188">
        <v>446.43</v>
      </c>
      <c r="J189" s="172">
        <f t="shared" si="2"/>
        <v>5.310000000000002</v>
      </c>
      <c r="K189" s="189">
        <v>0</v>
      </c>
      <c r="L189" s="174"/>
      <c r="M189" s="179"/>
      <c r="N189" s="179"/>
      <c r="O189" s="185"/>
    </row>
    <row r="190" spans="1:13" ht="12.75">
      <c r="A190" s="186" t="s">
        <v>282</v>
      </c>
      <c r="B190" s="187" t="s">
        <v>36</v>
      </c>
      <c r="C190" s="175"/>
      <c r="D190" s="175"/>
      <c r="E190" s="175"/>
      <c r="F190" s="175"/>
      <c r="G190" s="175"/>
      <c r="H190" s="188">
        <v>5765.099999999999</v>
      </c>
      <c r="I190" s="188">
        <v>5765.099999999999</v>
      </c>
      <c r="J190" s="172">
        <f>H190-I190</f>
        <v>0</v>
      </c>
      <c r="K190" s="189">
        <v>0</v>
      </c>
      <c r="L190" s="174"/>
      <c r="M190" s="174"/>
    </row>
    <row r="191" spans="1:13" ht="13.5" thickBot="1">
      <c r="A191" s="169" t="s">
        <v>283</v>
      </c>
      <c r="B191" s="190" t="s">
        <v>36</v>
      </c>
      <c r="C191" s="200"/>
      <c r="D191" s="200"/>
      <c r="E191" s="200"/>
      <c r="F191" s="200"/>
      <c r="G191" s="200"/>
      <c r="H191" s="191">
        <v>12502.71</v>
      </c>
      <c r="I191" s="191">
        <v>12502.71</v>
      </c>
      <c r="J191" s="168">
        <f>H191-I191</f>
        <v>0</v>
      </c>
      <c r="K191" s="201">
        <v>0</v>
      </c>
      <c r="L191" s="174"/>
      <c r="M191" s="174"/>
    </row>
    <row r="192" spans="1:13" ht="12.75">
      <c r="A192" s="174"/>
      <c r="B192" s="174"/>
      <c r="C192" s="174"/>
      <c r="D192" s="174"/>
      <c r="E192" s="174"/>
      <c r="F192" s="174"/>
      <c r="G192" s="192" t="s">
        <v>93</v>
      </c>
      <c r="H192" s="193">
        <f>SUM(H8:H191)</f>
        <v>69621224.48059997</v>
      </c>
      <c r="I192" s="193">
        <f>SUM(I8:I191)</f>
        <v>69620763.05059999</v>
      </c>
      <c r="J192" s="193">
        <f>SUM(J8:J191)</f>
        <v>461.43000000000154</v>
      </c>
      <c r="K192" s="174"/>
      <c r="L192" s="174"/>
      <c r="M192" s="174"/>
    </row>
    <row r="193" spans="1:13" ht="12.75">
      <c r="A193" s="174"/>
      <c r="B193" s="174"/>
      <c r="C193" s="174"/>
      <c r="D193" s="174"/>
      <c r="E193" s="174"/>
      <c r="F193" s="174"/>
      <c r="G193" s="138" t="s">
        <v>285</v>
      </c>
      <c r="H193" s="193"/>
      <c r="I193" s="193"/>
      <c r="J193" s="193">
        <f>J192-J52-J25</f>
        <v>526.9900000000009</v>
      </c>
      <c r="K193" s="174"/>
      <c r="L193" s="174"/>
      <c r="M193" s="174"/>
    </row>
    <row r="194" spans="1:13" ht="12.75">
      <c r="A194" s="174"/>
      <c r="B194" s="174"/>
      <c r="C194" s="174"/>
      <c r="D194" s="174"/>
      <c r="E194" s="174"/>
      <c r="F194" s="176"/>
      <c r="G194" s="192" t="s">
        <v>209</v>
      </c>
      <c r="H194" s="179"/>
      <c r="I194" s="179"/>
      <c r="J194" s="202">
        <f>J193/184</f>
        <v>2.8640760869565267</v>
      </c>
      <c r="K194" s="174"/>
      <c r="L194" s="174"/>
      <c r="M194" s="174"/>
    </row>
    <row r="195" spans="7:10" ht="12.75">
      <c r="G195" s="192" t="s">
        <v>94</v>
      </c>
      <c r="H195" s="179">
        <f>STDEV(H8:H191)</f>
        <v>1594918.0771583666</v>
      </c>
      <c r="I195" s="179">
        <f>STDEV(I8:I191)</f>
        <v>1594918.635918451</v>
      </c>
      <c r="J195" s="173">
        <f>STDEV(J8:J191)</f>
        <v>26.837870171375194</v>
      </c>
    </row>
    <row r="197" spans="1:3" ht="12.75">
      <c r="A197" s="242" t="s">
        <v>291</v>
      </c>
      <c r="B197" s="243"/>
      <c r="C197" s="243"/>
    </row>
    <row r="199" spans="1:3" ht="12.75">
      <c r="A199" s="231" t="s">
        <v>95</v>
      </c>
      <c r="B199" s="232"/>
      <c r="C199" s="209">
        <v>415205530.29</v>
      </c>
    </row>
    <row r="200" spans="1:3" ht="12.75">
      <c r="A200" s="233" t="s">
        <v>96</v>
      </c>
      <c r="B200" s="234"/>
      <c r="C200" s="210">
        <v>609302</v>
      </c>
    </row>
    <row r="201" spans="1:3" ht="12.75">
      <c r="A201" s="231" t="s">
        <v>286</v>
      </c>
      <c r="B201" s="232"/>
      <c r="C201" s="209">
        <f>0.02*C199</f>
        <v>8304110.605800001</v>
      </c>
    </row>
    <row r="202" spans="1:3" ht="12.75">
      <c r="A202" s="231" t="s">
        <v>294</v>
      </c>
      <c r="B202" s="232"/>
      <c r="C202" s="209">
        <f>(C200*1.14*J195)/SQRT(184)</f>
        <v>1374284.3192164714</v>
      </c>
    </row>
    <row r="203" spans="1:3" ht="12.75">
      <c r="A203" s="231" t="s">
        <v>293</v>
      </c>
      <c r="B203" s="232"/>
      <c r="C203" s="211">
        <f>2.86*C200</f>
        <v>1742603.72</v>
      </c>
    </row>
    <row r="204" spans="1:3" ht="12.75">
      <c r="A204" s="231" t="s">
        <v>284</v>
      </c>
      <c r="B204" s="232"/>
      <c r="C204" s="212">
        <f>C202+C203</f>
        <v>3116888.0392164714</v>
      </c>
    </row>
  </sheetData>
  <sheetProtection/>
  <mergeCells count="11">
    <mergeCell ref="A2:L2"/>
    <mergeCell ref="A3:L3"/>
    <mergeCell ref="B5:G5"/>
    <mergeCell ref="H5:K5"/>
    <mergeCell ref="A199:B199"/>
    <mergeCell ref="A197:C197"/>
    <mergeCell ref="A200:B200"/>
    <mergeCell ref="A201:B201"/>
    <mergeCell ref="A202:B202"/>
    <mergeCell ref="A203:B203"/>
    <mergeCell ref="A204:B204"/>
  </mergeCells>
  <conditionalFormatting sqref="L8:P102 H8:J8 H29:I123 J9:J191">
    <cfRule type="expression" priority="3" dxfId="0" stopIfTrue="1">
      <formula>'B. CVS_IACS'!#REF!="No"</formula>
    </cfRule>
  </conditionalFormatting>
  <conditionalFormatting sqref="K107:K111">
    <cfRule type="expression" priority="5" dxfId="0" stopIfTrue="1">
      <formula>'B. CVS_IACS'!#REF!="No"</formula>
    </cfRule>
  </conditionalFormatting>
  <conditionalFormatting sqref="G8:G24">
    <cfRule type="cellIs" priority="4" dxfId="2" operator="equal" stopIfTrue="1">
      <formula>"ERR"</formula>
    </cfRule>
  </conditionalFormatting>
  <conditionalFormatting sqref="F8:F24">
    <cfRule type="cellIs" priority="65535" dxfId="2" operator="equal" stopIfTrue="1">
      <formula>"ERR"</formula>
    </cfRule>
  </conditionalFormatting>
  <conditionalFormatting sqref="K5">
    <cfRule type="expression" priority="2" dxfId="0" stopIfTrue="1">
      <formula>'B. CVS_IACS'!#REF!="No"</formula>
    </cfRule>
  </conditionalFormatting>
  <conditionalFormatting sqref="L103:P103 L106:P106">
    <cfRule type="expression" priority="6" dxfId="0" stopIfTrue="1">
      <formula>'B. CVS_IACS'!#REF!="No"</formula>
    </cfRule>
  </conditionalFormatting>
  <conditionalFormatting sqref="H124:I124 H126:I126 I125">
    <cfRule type="expression" priority="6" dxfId="0" stopIfTrue="1">
      <formula>'B. CVS_IACS'!#REF!="No"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0" r:id="rId5"/>
  <drawing r:id="rId4"/>
  <legacyDrawing r:id="rId3"/>
  <oleObjects>
    <oleObject progId="Equation.3" shapeId="1903952" r:id="rId1"/>
    <oleObject progId="Equation.3" shapeId="190395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0"/>
  <sheetViews>
    <sheetView zoomScalePageLayoutView="0" workbookViewId="0" topLeftCell="A22">
      <selection activeCell="F47" sqref="F47"/>
    </sheetView>
  </sheetViews>
  <sheetFormatPr defaultColWidth="9.140625" defaultRowHeight="12.75"/>
  <cols>
    <col min="1" max="1" width="16.8515625" style="0" customWidth="1"/>
    <col min="2" max="2" width="13.8515625" style="0" bestFit="1" customWidth="1"/>
    <col min="3" max="3" width="17.140625" style="0" customWidth="1"/>
    <col min="4" max="4" width="15.140625" style="0" customWidth="1"/>
    <col min="7" max="7" width="17.7109375" style="0" customWidth="1"/>
    <col min="8" max="8" width="14.28125" style="0" customWidth="1"/>
    <col min="9" max="9" width="16.57421875" style="0" bestFit="1" customWidth="1"/>
    <col min="10" max="10" width="10.28125" style="0" bestFit="1" customWidth="1"/>
  </cols>
  <sheetData>
    <row r="2" spans="1:12" ht="20.25">
      <c r="A2" s="222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20.25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7" ht="13.5" thickBot="1">
      <c r="A4" s="107"/>
      <c r="D4" s="108"/>
      <c r="G4" s="108"/>
    </row>
    <row r="5" spans="1:17" s="107" customFormat="1" ht="15.75" customHeight="1" thickBot="1">
      <c r="A5" s="109"/>
      <c r="B5" s="223" t="s">
        <v>31</v>
      </c>
      <c r="C5" s="224"/>
      <c r="D5" s="224"/>
      <c r="E5" s="224"/>
      <c r="F5" s="224"/>
      <c r="G5" s="225"/>
      <c r="H5" s="239" t="s">
        <v>32</v>
      </c>
      <c r="I5" s="240"/>
      <c r="J5" s="240"/>
      <c r="K5" s="241"/>
      <c r="L5" s="110"/>
      <c r="M5" s="3"/>
      <c r="N5" s="3"/>
      <c r="O5" s="3"/>
      <c r="P5" s="3"/>
      <c r="Q5" s="3"/>
    </row>
    <row r="6" spans="1:17" s="107" customFormat="1" ht="12.75">
      <c r="A6" s="111" t="s">
        <v>33</v>
      </c>
      <c r="B6" s="113"/>
      <c r="C6" s="109" t="s">
        <v>34</v>
      </c>
      <c r="D6" s="109" t="s">
        <v>35</v>
      </c>
      <c r="E6" s="109" t="s">
        <v>36</v>
      </c>
      <c r="F6" s="109" t="s">
        <v>37</v>
      </c>
      <c r="G6" s="109" t="s">
        <v>38</v>
      </c>
      <c r="H6" s="114" t="s">
        <v>39</v>
      </c>
      <c r="I6" s="109" t="s">
        <v>40</v>
      </c>
      <c r="J6" s="109" t="s">
        <v>41</v>
      </c>
      <c r="K6" s="109" t="s">
        <v>37</v>
      </c>
      <c r="M6" s="115"/>
      <c r="N6" s="116"/>
      <c r="O6" s="115"/>
      <c r="P6" s="115"/>
      <c r="Q6" s="115"/>
    </row>
    <row r="7" spans="1:17" s="107" customFormat="1" ht="13.5" thickBot="1">
      <c r="A7" s="111" t="s">
        <v>43</v>
      </c>
      <c r="B7" s="112" t="s">
        <v>44</v>
      </c>
      <c r="C7" s="111" t="s">
        <v>45</v>
      </c>
      <c r="D7" s="111" t="s">
        <v>45</v>
      </c>
      <c r="E7" s="111" t="s">
        <v>46</v>
      </c>
      <c r="F7" s="111" t="s">
        <v>45</v>
      </c>
      <c r="G7" s="111" t="s">
        <v>47</v>
      </c>
      <c r="H7" s="153" t="s">
        <v>48</v>
      </c>
      <c r="I7" s="154" t="s">
        <v>48</v>
      </c>
      <c r="J7" s="154" t="s">
        <v>49</v>
      </c>
      <c r="K7" s="154" t="s">
        <v>41</v>
      </c>
      <c r="M7" s="115"/>
      <c r="N7" s="116"/>
      <c r="O7" s="115"/>
      <c r="P7" s="115"/>
      <c r="Q7" s="115"/>
    </row>
    <row r="8" spans="1:17" s="107" customFormat="1" ht="12.75">
      <c r="A8" s="118" t="s">
        <v>50</v>
      </c>
      <c r="B8" s="119" t="s">
        <v>51</v>
      </c>
      <c r="C8" s="119"/>
      <c r="D8" s="119">
        <v>1</v>
      </c>
      <c r="E8" s="119"/>
      <c r="F8" s="120"/>
      <c r="G8" s="120">
        <v>1</v>
      </c>
      <c r="H8" s="121">
        <v>55999.34</v>
      </c>
      <c r="I8" s="121">
        <v>55897.0938</v>
      </c>
      <c r="J8" s="121">
        <v>102.24619999999413</v>
      </c>
      <c r="K8" s="123">
        <v>0</v>
      </c>
      <c r="M8" s="110"/>
      <c r="N8" s="110"/>
      <c r="O8" s="110"/>
      <c r="P8" s="110"/>
      <c r="Q8" s="124"/>
    </row>
    <row r="9" spans="1:17" s="107" customFormat="1" ht="12.75">
      <c r="A9" s="125" t="s">
        <v>52</v>
      </c>
      <c r="B9" s="126" t="s">
        <v>36</v>
      </c>
      <c r="C9" s="126"/>
      <c r="D9" s="126"/>
      <c r="E9" s="126"/>
      <c r="F9" s="126"/>
      <c r="G9" s="126"/>
      <c r="H9" s="127">
        <v>7303.5</v>
      </c>
      <c r="I9" s="127">
        <v>7303.5</v>
      </c>
      <c r="J9" s="127">
        <v>0</v>
      </c>
      <c r="K9" s="129">
        <v>0</v>
      </c>
      <c r="M9" s="110"/>
      <c r="N9" s="110"/>
      <c r="O9" s="110"/>
      <c r="P9" s="110"/>
      <c r="Q9" s="124"/>
    </row>
    <row r="10" spans="1:17" s="107" customFormat="1" ht="12.75">
      <c r="A10" s="125" t="s">
        <v>53</v>
      </c>
      <c r="B10" s="126" t="s">
        <v>36</v>
      </c>
      <c r="C10" s="126"/>
      <c r="D10" s="126"/>
      <c r="E10" s="126"/>
      <c r="F10" s="126"/>
      <c r="G10" s="126"/>
      <c r="H10" s="127">
        <v>5842.8</v>
      </c>
      <c r="I10" s="127">
        <v>5842.8</v>
      </c>
      <c r="J10" s="127">
        <v>0</v>
      </c>
      <c r="K10" s="129">
        <v>0</v>
      </c>
      <c r="M10" s="110"/>
      <c r="N10" s="110"/>
      <c r="O10" s="110"/>
      <c r="P10" s="110"/>
      <c r="Q10" s="124"/>
    </row>
    <row r="11" spans="1:17" s="107" customFormat="1" ht="12.75">
      <c r="A11" s="125" t="s">
        <v>54</v>
      </c>
      <c r="B11" s="126" t="s">
        <v>51</v>
      </c>
      <c r="C11" s="126">
        <v>1</v>
      </c>
      <c r="D11" s="126"/>
      <c r="E11" s="126"/>
      <c r="F11" s="126"/>
      <c r="G11" s="126">
        <v>1</v>
      </c>
      <c r="H11" s="127">
        <v>5187.75</v>
      </c>
      <c r="I11" s="127">
        <v>5187.75</v>
      </c>
      <c r="J11" s="127">
        <v>0</v>
      </c>
      <c r="K11" s="129">
        <v>0</v>
      </c>
      <c r="M11" s="110"/>
      <c r="N11" s="110"/>
      <c r="O11" s="110"/>
      <c r="P11" s="110"/>
      <c r="Q11" s="124"/>
    </row>
    <row r="12" spans="1:17" s="107" customFormat="1" ht="12.75">
      <c r="A12" s="125" t="s">
        <v>55</v>
      </c>
      <c r="B12" s="126" t="s">
        <v>36</v>
      </c>
      <c r="C12" s="126"/>
      <c r="D12" s="126"/>
      <c r="E12" s="126"/>
      <c r="F12" s="126"/>
      <c r="G12" s="126"/>
      <c r="H12" s="127">
        <v>144130.84</v>
      </c>
      <c r="I12" s="127">
        <v>144130.84</v>
      </c>
      <c r="J12" s="127">
        <v>0</v>
      </c>
      <c r="K12" s="129">
        <v>0</v>
      </c>
      <c r="M12" s="110"/>
      <c r="N12" s="110"/>
      <c r="O12" s="110"/>
      <c r="P12" s="110"/>
      <c r="Q12" s="124"/>
    </row>
    <row r="13" spans="1:17" s="107" customFormat="1" ht="12.75">
      <c r="A13" s="125" t="s">
        <v>56</v>
      </c>
      <c r="B13" s="126" t="s">
        <v>36</v>
      </c>
      <c r="C13" s="126"/>
      <c r="D13" s="126"/>
      <c r="E13" s="126"/>
      <c r="F13" s="126"/>
      <c r="G13" s="126"/>
      <c r="H13" s="127">
        <v>12056.13</v>
      </c>
      <c r="I13" s="127">
        <v>12056.13</v>
      </c>
      <c r="J13" s="127">
        <v>0</v>
      </c>
      <c r="K13" s="129">
        <v>0</v>
      </c>
      <c r="M13" s="110"/>
      <c r="N13" s="110"/>
      <c r="O13" s="110"/>
      <c r="P13" s="110"/>
      <c r="Q13" s="124"/>
    </row>
    <row r="14" spans="1:17" s="107" customFormat="1" ht="12.75">
      <c r="A14" s="125" t="s">
        <v>57</v>
      </c>
      <c r="B14" s="126" t="s">
        <v>51</v>
      </c>
      <c r="C14" s="126"/>
      <c r="D14" s="126">
        <v>1</v>
      </c>
      <c r="E14" s="126"/>
      <c r="F14" s="126"/>
      <c r="G14" s="126">
        <v>1</v>
      </c>
      <c r="H14" s="127">
        <v>28321.02</v>
      </c>
      <c r="I14" s="127">
        <v>28293.2721</v>
      </c>
      <c r="J14" s="127">
        <v>27.74790000000212</v>
      </c>
      <c r="K14" s="129">
        <v>0</v>
      </c>
      <c r="M14" s="110"/>
      <c r="N14" s="110"/>
      <c r="O14" s="110"/>
      <c r="P14" s="110"/>
      <c r="Q14" s="124"/>
    </row>
    <row r="15" spans="1:17" s="107" customFormat="1" ht="12.75">
      <c r="A15" s="125" t="s">
        <v>58</v>
      </c>
      <c r="B15" s="126" t="s">
        <v>36</v>
      </c>
      <c r="C15" s="126"/>
      <c r="D15" s="126"/>
      <c r="E15" s="126"/>
      <c r="F15" s="126"/>
      <c r="G15" s="126"/>
      <c r="H15" s="127">
        <v>2677.46</v>
      </c>
      <c r="I15" s="127">
        <v>2677.46</v>
      </c>
      <c r="J15" s="127">
        <v>0</v>
      </c>
      <c r="K15" s="129">
        <v>0</v>
      </c>
      <c r="M15" s="110"/>
      <c r="N15" s="110"/>
      <c r="O15" s="110"/>
      <c r="P15" s="110"/>
      <c r="Q15" s="124"/>
    </row>
    <row r="16" spans="1:17" s="107" customFormat="1" ht="12.75">
      <c r="A16" s="125" t="s">
        <v>59</v>
      </c>
      <c r="B16" s="126" t="s">
        <v>36</v>
      </c>
      <c r="C16" s="126"/>
      <c r="D16" s="126"/>
      <c r="E16" s="126"/>
      <c r="F16" s="126"/>
      <c r="G16" s="126"/>
      <c r="H16" s="127">
        <v>16798.04</v>
      </c>
      <c r="I16" s="127">
        <v>16798.04</v>
      </c>
      <c r="J16" s="127">
        <v>0</v>
      </c>
      <c r="K16" s="129">
        <v>0</v>
      </c>
      <c r="M16" s="110"/>
      <c r="N16" s="110"/>
      <c r="O16" s="110"/>
      <c r="P16" s="110"/>
      <c r="Q16" s="124"/>
    </row>
    <row r="17" spans="1:17" s="107" customFormat="1" ht="12.75">
      <c r="A17" s="125" t="s">
        <v>60</v>
      </c>
      <c r="B17" s="126" t="s">
        <v>36</v>
      </c>
      <c r="C17" s="126"/>
      <c r="D17" s="126"/>
      <c r="E17" s="126"/>
      <c r="F17" s="126"/>
      <c r="G17" s="126"/>
      <c r="H17" s="127">
        <v>4869</v>
      </c>
      <c r="I17" s="127">
        <v>4869</v>
      </c>
      <c r="J17" s="127">
        <v>0</v>
      </c>
      <c r="K17" s="129">
        <v>0</v>
      </c>
      <c r="M17" s="110"/>
      <c r="N17" s="110"/>
      <c r="O17" s="110"/>
      <c r="P17" s="110"/>
      <c r="Q17" s="124"/>
    </row>
    <row r="18" spans="1:17" s="107" customFormat="1" ht="12.75">
      <c r="A18" s="125" t="s">
        <v>61</v>
      </c>
      <c r="B18" s="126" t="s">
        <v>51</v>
      </c>
      <c r="C18" s="126"/>
      <c r="D18" s="126">
        <v>1</v>
      </c>
      <c r="E18" s="126"/>
      <c r="F18" s="126"/>
      <c r="G18" s="126">
        <v>1</v>
      </c>
      <c r="H18" s="127">
        <v>266940.98</v>
      </c>
      <c r="I18" s="127">
        <v>266854.3092</v>
      </c>
      <c r="J18" s="127">
        <v>86.67079999996349</v>
      </c>
      <c r="K18" s="129">
        <v>0</v>
      </c>
      <c r="M18" s="110"/>
      <c r="N18" s="110"/>
      <c r="O18" s="110"/>
      <c r="P18" s="110"/>
      <c r="Q18" s="124"/>
    </row>
    <row r="19" spans="1:17" s="107" customFormat="1" ht="12.75">
      <c r="A19" s="125" t="s">
        <v>62</v>
      </c>
      <c r="B19" s="126" t="s">
        <v>36</v>
      </c>
      <c r="C19" s="126"/>
      <c r="D19" s="126"/>
      <c r="E19" s="126"/>
      <c r="F19" s="126"/>
      <c r="G19" s="126"/>
      <c r="H19" s="127">
        <v>2805.52</v>
      </c>
      <c r="I19" s="127">
        <v>2805.5178</v>
      </c>
      <c r="J19" s="127">
        <v>0.002199999999902502</v>
      </c>
      <c r="K19" s="129">
        <v>0</v>
      </c>
      <c r="M19" s="110"/>
      <c r="N19" s="110"/>
      <c r="O19" s="110"/>
      <c r="P19" s="110"/>
      <c r="Q19" s="124"/>
    </row>
    <row r="20" spans="1:17" s="107" customFormat="1" ht="12.75">
      <c r="A20" s="125" t="s">
        <v>63</v>
      </c>
      <c r="B20" s="126" t="s">
        <v>36</v>
      </c>
      <c r="C20" s="126"/>
      <c r="D20" s="126"/>
      <c r="E20" s="126"/>
      <c r="F20" s="126"/>
      <c r="G20" s="126"/>
      <c r="H20" s="127">
        <v>511.25</v>
      </c>
      <c r="I20" s="127">
        <v>511.245</v>
      </c>
      <c r="J20" s="127">
        <v>0.0049999999999954525</v>
      </c>
      <c r="K20" s="129">
        <v>0</v>
      </c>
      <c r="M20" s="110"/>
      <c r="N20" s="110"/>
      <c r="O20" s="110"/>
      <c r="P20" s="110"/>
      <c r="Q20" s="124"/>
    </row>
    <row r="21" spans="1:17" s="107" customFormat="1" ht="12.75">
      <c r="A21" s="125" t="s">
        <v>64</v>
      </c>
      <c r="B21" s="126" t="s">
        <v>36</v>
      </c>
      <c r="C21" s="126"/>
      <c r="D21" s="126"/>
      <c r="E21" s="126"/>
      <c r="F21" s="126"/>
      <c r="G21" s="126"/>
      <c r="H21" s="127">
        <v>46450.26</v>
      </c>
      <c r="I21" s="127">
        <v>46450.26</v>
      </c>
      <c r="J21" s="127">
        <v>0</v>
      </c>
      <c r="K21" s="129">
        <v>0</v>
      </c>
      <c r="M21" s="110"/>
      <c r="N21" s="110"/>
      <c r="O21" s="110"/>
      <c r="P21" s="110"/>
      <c r="Q21" s="124"/>
    </row>
    <row r="22" spans="1:17" s="107" customFormat="1" ht="12.75">
      <c r="A22" s="125" t="s">
        <v>65</v>
      </c>
      <c r="B22" s="126" t="s">
        <v>51</v>
      </c>
      <c r="C22" s="126"/>
      <c r="D22" s="126">
        <v>1</v>
      </c>
      <c r="E22" s="126"/>
      <c r="F22" s="126"/>
      <c r="G22" s="126">
        <v>1</v>
      </c>
      <c r="H22" s="127">
        <v>27071.15</v>
      </c>
      <c r="I22" s="127">
        <v>26666.05</v>
      </c>
      <c r="J22" s="127">
        <v>405.1000000000022</v>
      </c>
      <c r="K22" s="129">
        <v>0</v>
      </c>
      <c r="M22" s="110"/>
      <c r="N22" s="110"/>
      <c r="O22" s="110"/>
      <c r="P22" s="110"/>
      <c r="Q22" s="124"/>
    </row>
    <row r="23" spans="1:17" s="107" customFormat="1" ht="12.75">
      <c r="A23" s="125" t="s">
        <v>66</v>
      </c>
      <c r="B23" s="126" t="s">
        <v>36</v>
      </c>
      <c r="C23" s="126"/>
      <c r="D23" s="126"/>
      <c r="E23" s="126"/>
      <c r="F23" s="126"/>
      <c r="G23" s="126"/>
      <c r="H23" s="127">
        <v>45902.5</v>
      </c>
      <c r="I23" s="127">
        <v>45902.4975</v>
      </c>
      <c r="J23" s="127">
        <v>0.0025000000023283064</v>
      </c>
      <c r="K23" s="129">
        <v>0</v>
      </c>
      <c r="M23" s="110"/>
      <c r="N23" s="110"/>
      <c r="O23" s="110"/>
      <c r="P23" s="110"/>
      <c r="Q23" s="124"/>
    </row>
    <row r="24" spans="1:17" s="107" customFormat="1" ht="12.75">
      <c r="A24" s="125" t="s">
        <v>67</v>
      </c>
      <c r="B24" s="126" t="s">
        <v>51</v>
      </c>
      <c r="C24" s="126"/>
      <c r="D24" s="126">
        <v>1</v>
      </c>
      <c r="E24" s="126"/>
      <c r="F24" s="126"/>
      <c r="G24" s="126">
        <v>1</v>
      </c>
      <c r="H24" s="127">
        <v>337533.2</v>
      </c>
      <c r="I24" s="127">
        <v>337349.1519</v>
      </c>
      <c r="J24" s="127">
        <v>184.04810000001453</v>
      </c>
      <c r="K24" s="129">
        <v>0</v>
      </c>
      <c r="M24" s="110"/>
      <c r="N24" s="110"/>
      <c r="O24" s="110"/>
      <c r="P24" s="110"/>
      <c r="Q24" s="124"/>
    </row>
    <row r="25" spans="1:17" s="107" customFormat="1" ht="12.75">
      <c r="A25" s="125" t="s">
        <v>68</v>
      </c>
      <c r="B25" s="126" t="s">
        <v>36</v>
      </c>
      <c r="C25" s="126"/>
      <c r="D25" s="126"/>
      <c r="E25" s="126"/>
      <c r="F25" s="126"/>
      <c r="G25" s="126"/>
      <c r="H25" s="127">
        <v>31896.82</v>
      </c>
      <c r="I25" s="127">
        <v>31896.819</v>
      </c>
      <c r="J25" s="127">
        <v>0.0010000000002037268</v>
      </c>
      <c r="K25" s="129">
        <v>0</v>
      </c>
      <c r="M25" s="110"/>
      <c r="N25" s="110"/>
      <c r="O25" s="110"/>
      <c r="P25" s="110"/>
      <c r="Q25" s="124"/>
    </row>
    <row r="26" spans="1:17" s="107" customFormat="1" ht="12.75">
      <c r="A26" s="125" t="s">
        <v>69</v>
      </c>
      <c r="B26" s="126" t="s">
        <v>36</v>
      </c>
      <c r="C26" s="126"/>
      <c r="D26" s="126"/>
      <c r="E26" s="126"/>
      <c r="F26" s="126"/>
      <c r="G26" s="126"/>
      <c r="H26" s="127">
        <v>420704.26</v>
      </c>
      <c r="I26" s="127">
        <v>420704.26</v>
      </c>
      <c r="J26" s="127">
        <v>0</v>
      </c>
      <c r="K26" s="129">
        <v>0</v>
      </c>
      <c r="M26" s="110"/>
      <c r="N26" s="110"/>
      <c r="O26" s="110"/>
      <c r="P26" s="110"/>
      <c r="Q26" s="124"/>
    </row>
    <row r="27" spans="1:17" s="107" customFormat="1" ht="12.75">
      <c r="A27" s="125" t="s">
        <v>70</v>
      </c>
      <c r="B27" s="126" t="s">
        <v>51</v>
      </c>
      <c r="C27" s="126"/>
      <c r="D27" s="126">
        <v>1</v>
      </c>
      <c r="E27" s="126"/>
      <c r="F27" s="126"/>
      <c r="G27" s="126">
        <v>1</v>
      </c>
      <c r="H27" s="127">
        <v>21780.5</v>
      </c>
      <c r="I27" s="127">
        <v>13955.04</v>
      </c>
      <c r="J27" s="127">
        <v>7825.459999999999</v>
      </c>
      <c r="K27" s="129">
        <v>0</v>
      </c>
      <c r="M27" s="110"/>
      <c r="N27" s="110"/>
      <c r="O27" s="110"/>
      <c r="P27" s="110"/>
      <c r="Q27" s="124"/>
    </row>
    <row r="28" spans="1:17" s="107" customFormat="1" ht="12.75">
      <c r="A28" s="125" t="s">
        <v>71</v>
      </c>
      <c r="B28" s="126" t="s">
        <v>36</v>
      </c>
      <c r="C28" s="126"/>
      <c r="D28" s="126"/>
      <c r="E28" s="126"/>
      <c r="F28" s="126"/>
      <c r="G28" s="126"/>
      <c r="H28" s="127">
        <v>5842.8</v>
      </c>
      <c r="I28" s="127">
        <v>5842.8</v>
      </c>
      <c r="J28" s="127">
        <v>0</v>
      </c>
      <c r="K28" s="129">
        <v>0</v>
      </c>
      <c r="M28" s="110"/>
      <c r="N28" s="110"/>
      <c r="O28" s="110"/>
      <c r="P28" s="110"/>
      <c r="Q28" s="124"/>
    </row>
    <row r="29" spans="1:17" s="107" customFormat="1" ht="12.75">
      <c r="A29" s="125" t="s">
        <v>72</v>
      </c>
      <c r="B29" s="126" t="s">
        <v>36</v>
      </c>
      <c r="C29" s="126"/>
      <c r="D29" s="126"/>
      <c r="E29" s="126"/>
      <c r="F29" s="126"/>
      <c r="G29" s="126"/>
      <c r="H29" s="127">
        <v>12723.17</v>
      </c>
      <c r="I29" s="127">
        <v>12723.17</v>
      </c>
      <c r="J29" s="127">
        <v>0</v>
      </c>
      <c r="K29" s="129">
        <v>0</v>
      </c>
      <c r="M29" s="110"/>
      <c r="N29" s="110"/>
      <c r="O29" s="110"/>
      <c r="P29" s="110"/>
      <c r="Q29" s="124"/>
    </row>
    <row r="30" spans="1:17" s="107" customFormat="1" ht="12.75">
      <c r="A30" s="125" t="s">
        <v>73</v>
      </c>
      <c r="B30" s="126" t="s">
        <v>51</v>
      </c>
      <c r="C30" s="126"/>
      <c r="D30" s="126">
        <v>1</v>
      </c>
      <c r="E30" s="126"/>
      <c r="F30" s="126"/>
      <c r="G30" s="126">
        <v>1</v>
      </c>
      <c r="H30" s="127">
        <v>37774.19</v>
      </c>
      <c r="I30" s="127">
        <v>37709.9181</v>
      </c>
      <c r="J30" s="127">
        <v>64.27189999999973</v>
      </c>
      <c r="K30" s="129">
        <v>0</v>
      </c>
      <c r="M30" s="110"/>
      <c r="N30" s="110"/>
      <c r="O30" s="110"/>
      <c r="P30" s="110"/>
      <c r="Q30" s="124"/>
    </row>
    <row r="31" spans="1:17" s="107" customFormat="1" ht="12.75">
      <c r="A31" s="125" t="s">
        <v>74</v>
      </c>
      <c r="B31" s="126" t="s">
        <v>36</v>
      </c>
      <c r="C31" s="126"/>
      <c r="D31" s="126"/>
      <c r="E31" s="126"/>
      <c r="F31" s="126"/>
      <c r="G31" s="126"/>
      <c r="H31" s="127">
        <v>22060.64</v>
      </c>
      <c r="I31" s="127">
        <v>22060.64</v>
      </c>
      <c r="J31" s="127">
        <v>0</v>
      </c>
      <c r="K31" s="129">
        <v>0</v>
      </c>
      <c r="M31" s="110"/>
      <c r="N31" s="110"/>
      <c r="O31" s="110"/>
      <c r="P31" s="110"/>
      <c r="Q31" s="124"/>
    </row>
    <row r="32" spans="1:17" s="107" customFormat="1" ht="12.75">
      <c r="A32" s="125" t="s">
        <v>75</v>
      </c>
      <c r="B32" s="126" t="s">
        <v>51</v>
      </c>
      <c r="C32" s="126">
        <v>1</v>
      </c>
      <c r="D32" s="126"/>
      <c r="E32" s="126"/>
      <c r="F32" s="126"/>
      <c r="G32" s="126">
        <v>1</v>
      </c>
      <c r="H32" s="127">
        <v>4933.76</v>
      </c>
      <c r="I32" s="127">
        <v>4933.76</v>
      </c>
      <c r="J32" s="127">
        <v>0</v>
      </c>
      <c r="K32" s="129">
        <v>0</v>
      </c>
      <c r="M32" s="110"/>
      <c r="N32" s="110"/>
      <c r="O32" s="110"/>
      <c r="P32" s="110"/>
      <c r="Q32" s="124"/>
    </row>
    <row r="33" spans="1:17" s="107" customFormat="1" ht="12.75">
      <c r="A33" s="125" t="s">
        <v>76</v>
      </c>
      <c r="B33" s="126" t="s">
        <v>36</v>
      </c>
      <c r="C33" s="126"/>
      <c r="D33" s="126"/>
      <c r="E33" s="126"/>
      <c r="F33" s="126"/>
      <c r="G33" s="126"/>
      <c r="H33" s="127">
        <v>5351.52</v>
      </c>
      <c r="I33" s="127">
        <v>5351.52</v>
      </c>
      <c r="J33" s="127">
        <v>0</v>
      </c>
      <c r="K33" s="129">
        <v>0</v>
      </c>
      <c r="M33" s="110"/>
      <c r="N33" s="110"/>
      <c r="O33" s="110"/>
      <c r="P33" s="110"/>
      <c r="Q33" s="124"/>
    </row>
    <row r="34" spans="1:17" s="107" customFormat="1" ht="12.75">
      <c r="A34" s="125" t="s">
        <v>77</v>
      </c>
      <c r="B34" s="126" t="s">
        <v>51</v>
      </c>
      <c r="C34" s="126"/>
      <c r="D34" s="126">
        <v>1</v>
      </c>
      <c r="E34" s="126"/>
      <c r="F34" s="126"/>
      <c r="G34" s="126">
        <v>1</v>
      </c>
      <c r="H34" s="127">
        <v>45831.9</v>
      </c>
      <c r="I34" s="127">
        <v>45785.64</v>
      </c>
      <c r="J34" s="127">
        <v>46.26000000000204</v>
      </c>
      <c r="K34" s="129">
        <v>0</v>
      </c>
      <c r="M34" s="110"/>
      <c r="N34" s="110"/>
      <c r="O34" s="110"/>
      <c r="P34" s="110"/>
      <c r="Q34" s="124"/>
    </row>
    <row r="35" spans="1:17" s="107" customFormat="1" ht="12.75">
      <c r="A35" s="125" t="s">
        <v>78</v>
      </c>
      <c r="B35" s="126" t="s">
        <v>36</v>
      </c>
      <c r="C35" s="126"/>
      <c r="D35" s="126"/>
      <c r="E35" s="126"/>
      <c r="F35" s="126"/>
      <c r="G35" s="126"/>
      <c r="H35" s="127">
        <v>50397.93</v>
      </c>
      <c r="I35" s="127">
        <v>50397.93</v>
      </c>
      <c r="J35" s="127">
        <v>0</v>
      </c>
      <c r="K35" s="129">
        <v>0</v>
      </c>
      <c r="M35" s="110"/>
      <c r="N35" s="110"/>
      <c r="O35" s="110"/>
      <c r="P35" s="110"/>
      <c r="Q35" s="124"/>
    </row>
    <row r="36" spans="1:17" s="107" customFormat="1" ht="12.75">
      <c r="A36" s="125" t="s">
        <v>79</v>
      </c>
      <c r="B36" s="126" t="s">
        <v>36</v>
      </c>
      <c r="C36" s="126"/>
      <c r="D36" s="126"/>
      <c r="E36" s="126"/>
      <c r="F36" s="126"/>
      <c r="G36" s="126"/>
      <c r="H36" s="127">
        <v>544645.3</v>
      </c>
      <c r="I36" s="127">
        <v>544645.3</v>
      </c>
      <c r="J36" s="127">
        <v>0</v>
      </c>
      <c r="K36" s="129">
        <v>0</v>
      </c>
      <c r="M36" s="110"/>
      <c r="N36" s="110"/>
      <c r="O36" s="110"/>
      <c r="P36" s="110"/>
      <c r="Q36" s="124"/>
    </row>
    <row r="37" spans="1:17" s="107" customFormat="1" ht="13.5" thickBot="1">
      <c r="A37" s="130" t="s">
        <v>80</v>
      </c>
      <c r="B37" s="131" t="s">
        <v>36</v>
      </c>
      <c r="C37" s="131"/>
      <c r="D37" s="131"/>
      <c r="E37" s="131"/>
      <c r="F37" s="131"/>
      <c r="G37" s="131"/>
      <c r="H37" s="132">
        <v>71695.04</v>
      </c>
      <c r="I37" s="132">
        <v>71695.04</v>
      </c>
      <c r="J37" s="132">
        <v>0</v>
      </c>
      <c r="K37" s="134">
        <v>0</v>
      </c>
      <c r="M37" s="110"/>
      <c r="N37" s="110"/>
      <c r="O37" s="110"/>
      <c r="P37" s="110"/>
      <c r="Q37" s="124"/>
    </row>
    <row r="38" spans="1:17" ht="12.75">
      <c r="A38" s="135"/>
      <c r="B38" s="136"/>
      <c r="C38" s="136"/>
      <c r="D38" s="137"/>
      <c r="E38" s="136"/>
      <c r="F38" s="136"/>
      <c r="G38" s="138" t="s">
        <v>93</v>
      </c>
      <c r="H38" s="139">
        <f>SUM(H8:H37)</f>
        <v>2286038.5699999994</v>
      </c>
      <c r="I38" s="139">
        <f>SUM(I8:I37)</f>
        <v>2277296.7544</v>
      </c>
      <c r="J38" s="139">
        <f>SUM(J8:J37)</f>
        <v>8741.81559999998</v>
      </c>
      <c r="K38" s="110">
        <f>SUM(K8:K37)</f>
        <v>0</v>
      </c>
      <c r="M38" s="110"/>
      <c r="N38" s="110"/>
      <c r="O38" s="110"/>
      <c r="P38" s="110"/>
      <c r="Q38" s="110"/>
    </row>
    <row r="39" spans="1:17" ht="12.75">
      <c r="A39" s="141"/>
      <c r="B39" s="136"/>
      <c r="C39" s="136"/>
      <c r="D39" s="137"/>
      <c r="E39" s="136"/>
      <c r="F39" s="136"/>
      <c r="G39" s="138" t="s">
        <v>285</v>
      </c>
      <c r="H39" s="139"/>
      <c r="I39" s="139"/>
      <c r="J39" s="139">
        <f>J38</f>
        <v>8741.81559999998</v>
      </c>
      <c r="K39" s="110"/>
      <c r="M39" s="142"/>
      <c r="N39" s="143"/>
      <c r="O39" s="143"/>
      <c r="P39" s="144"/>
      <c r="Q39" s="144"/>
    </row>
    <row r="40" spans="1:17" ht="12.75">
      <c r="A40" s="141"/>
      <c r="B40" s="136"/>
      <c r="C40" s="136"/>
      <c r="D40" s="137"/>
      <c r="E40" s="136"/>
      <c r="F40" s="136"/>
      <c r="G40" s="138" t="s">
        <v>211</v>
      </c>
      <c r="H40" s="110"/>
      <c r="I40" s="110"/>
      <c r="J40" s="203">
        <f>J39/30</f>
        <v>291.3938533333327</v>
      </c>
      <c r="K40" s="110"/>
      <c r="M40" s="144"/>
      <c r="N40" s="143"/>
      <c r="O40" s="143"/>
      <c r="P40" s="144"/>
      <c r="Q40" s="144"/>
    </row>
    <row r="41" spans="1:19" ht="12.75">
      <c r="A41" s="141"/>
      <c r="B41" s="136"/>
      <c r="C41" s="136"/>
      <c r="D41" s="137"/>
      <c r="E41" s="136"/>
      <c r="F41" s="136"/>
      <c r="G41" s="138" t="s">
        <v>94</v>
      </c>
      <c r="H41" s="110">
        <f>STDEV(H8:H37)</f>
        <v>134976.73366865207</v>
      </c>
      <c r="I41" s="110">
        <f>STDEV(I8:I37)</f>
        <v>135083.44483320124</v>
      </c>
      <c r="J41" s="145">
        <f>STDEV(J8:J37)</f>
        <v>1425.3069786178835</v>
      </c>
      <c r="K41" s="110">
        <f>STDEV(K8:K37)</f>
        <v>0</v>
      </c>
      <c r="M41" s="110"/>
      <c r="N41" s="110"/>
      <c r="O41" s="110"/>
      <c r="P41" s="146"/>
      <c r="Q41" s="147"/>
      <c r="R41" s="107"/>
      <c r="S41" s="107"/>
    </row>
    <row r="42" spans="1:15" ht="12.75">
      <c r="A42" s="141"/>
      <c r="B42" s="136"/>
      <c r="C42" s="136"/>
      <c r="D42" s="137"/>
      <c r="E42" s="136"/>
      <c r="F42" s="136"/>
      <c r="G42" s="137"/>
      <c r="H42" s="110"/>
      <c r="I42" s="110"/>
      <c r="J42" s="110"/>
      <c r="K42" s="124"/>
      <c r="L42" s="110"/>
      <c r="N42" s="148"/>
      <c r="O42" s="148"/>
    </row>
    <row r="43" spans="1:10" ht="12.75" customHeight="1">
      <c r="A43" s="229" t="s">
        <v>291</v>
      </c>
      <c r="B43" s="229"/>
      <c r="J43" s="2"/>
    </row>
    <row r="45" spans="1:4" ht="12.75">
      <c r="A45" s="233" t="s">
        <v>95</v>
      </c>
      <c r="B45" s="234"/>
      <c r="C45" s="207">
        <v>157821187.75</v>
      </c>
      <c r="D45" s="144"/>
    </row>
    <row r="46" spans="1:4" ht="12.75">
      <c r="A46" s="233" t="s">
        <v>96</v>
      </c>
      <c r="B46" s="234"/>
      <c r="C46" s="213">
        <v>40664</v>
      </c>
      <c r="D46" s="217"/>
    </row>
    <row r="47" spans="1:4" ht="12.75">
      <c r="A47" s="233" t="s">
        <v>286</v>
      </c>
      <c r="B47" s="234"/>
      <c r="C47" s="209">
        <f>0.02*C45</f>
        <v>3156423.755</v>
      </c>
      <c r="D47" s="144"/>
    </row>
    <row r="48" spans="1:4" ht="12.75">
      <c r="A48" s="231" t="s">
        <v>294</v>
      </c>
      <c r="B48" s="232"/>
      <c r="C48" s="211">
        <f>(C46*1.14*J41)/SQRT(30)</f>
        <v>12063205.666837426</v>
      </c>
      <c r="D48" s="218"/>
    </row>
    <row r="49" spans="1:4" ht="12.75">
      <c r="A49" s="231" t="s">
        <v>293</v>
      </c>
      <c r="B49" s="232"/>
      <c r="C49" s="211">
        <f>291.39*C46</f>
        <v>11849082.959999999</v>
      </c>
      <c r="D49" s="144"/>
    </row>
    <row r="50" spans="1:4" ht="12.75">
      <c r="A50" s="231" t="s">
        <v>284</v>
      </c>
      <c r="B50" s="232"/>
      <c r="C50" s="211">
        <f>C48+C49</f>
        <v>23912288.626837425</v>
      </c>
      <c r="D50" s="144"/>
    </row>
  </sheetData>
  <sheetProtection/>
  <mergeCells count="11">
    <mergeCell ref="A2:L2"/>
    <mergeCell ref="A3:L3"/>
    <mergeCell ref="B5:G5"/>
    <mergeCell ref="H5:K5"/>
    <mergeCell ref="A43:B43"/>
    <mergeCell ref="A45:B45"/>
    <mergeCell ref="A46:B46"/>
    <mergeCell ref="A47:B47"/>
    <mergeCell ref="A48:B48"/>
    <mergeCell ref="A49:B49"/>
    <mergeCell ref="A50:B50"/>
  </mergeCells>
  <conditionalFormatting sqref="M41:Q41 M8:Q38 H8:K41">
    <cfRule type="expression" priority="5" dxfId="0" stopIfTrue="1">
      <formula>'B. CVS_NIACS'!#REF!="No"</formula>
    </cfRule>
  </conditionalFormatting>
  <conditionalFormatting sqref="L5">
    <cfRule type="expression" priority="3" dxfId="0" stopIfTrue="1">
      <formula>'B. CVS_NIACS'!#REF!="No"</formula>
    </cfRule>
  </conditionalFormatting>
  <conditionalFormatting sqref="G8">
    <cfRule type="cellIs" priority="2" dxfId="2" operator="equal" stopIfTrue="1">
      <formula>"ERR"</formula>
    </cfRule>
  </conditionalFormatting>
  <conditionalFormatting sqref="F8">
    <cfRule type="cellIs" priority="1" dxfId="2" operator="equal" stopIfTrue="1">
      <formula>"ERR"</formula>
    </cfRule>
  </conditionalFormatting>
  <conditionalFormatting sqref="H42:L42">
    <cfRule type="expression" priority="16" dxfId="0" stopIfTrue="1">
      <formula>$K42="No"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0" r:id="rId5"/>
  <drawing r:id="rId4"/>
  <legacyDrawing r:id="rId3"/>
  <oleObjects>
    <oleObject progId="Equation.3" shapeId="1905890" r:id="rId1"/>
    <oleObject progId="Equation.3" shapeId="190589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6.8515625" style="0" customWidth="1"/>
    <col min="2" max="2" width="13.8515625" style="0" bestFit="1" customWidth="1"/>
    <col min="3" max="3" width="17.140625" style="0" customWidth="1"/>
    <col min="4" max="4" width="15.140625" style="0" customWidth="1"/>
    <col min="5" max="5" width="14.00390625" style="0" customWidth="1"/>
    <col min="7" max="7" width="17.7109375" style="0" customWidth="1"/>
    <col min="8" max="8" width="14.28125" style="0" customWidth="1"/>
    <col min="9" max="9" width="16.57421875" style="0" bestFit="1" customWidth="1"/>
    <col min="10" max="10" width="10.28125" style="0" bestFit="1" customWidth="1"/>
  </cols>
  <sheetData>
    <row r="1" spans="1:15" ht="12.75">
      <c r="A1" s="141"/>
      <c r="B1" s="136"/>
      <c r="C1" s="136"/>
      <c r="D1" s="137"/>
      <c r="E1" s="136"/>
      <c r="F1" s="136"/>
      <c r="G1" s="137"/>
      <c r="H1" s="110"/>
      <c r="I1" s="110"/>
      <c r="J1" s="110"/>
      <c r="K1" s="124"/>
      <c r="L1" s="110"/>
      <c r="N1" s="148"/>
      <c r="O1" s="148"/>
    </row>
    <row r="2" spans="1:10" ht="12.75" customHeight="1">
      <c r="A2" s="242" t="s">
        <v>296</v>
      </c>
      <c r="B2" s="242"/>
      <c r="C2" s="243"/>
      <c r="J2" s="2"/>
    </row>
    <row r="4" spans="1:4" ht="12.75">
      <c r="A4" s="233" t="s">
        <v>95</v>
      </c>
      <c r="B4" s="234"/>
      <c r="C4" s="207">
        <f>'B. CVS_IACS'!C199+'B. CVS_NIACS'!C45</f>
        <v>573026718.04</v>
      </c>
      <c r="D4" s="144"/>
    </row>
    <row r="5" spans="1:4" ht="12.75">
      <c r="A5" s="233" t="s">
        <v>96</v>
      </c>
      <c r="B5" s="234"/>
      <c r="C5" s="213">
        <f>'B. CVS_IACS'!C200+'B. CVS_NIACS'!C46</f>
        <v>649966</v>
      </c>
      <c r="D5" s="217"/>
    </row>
    <row r="6" spans="1:4" ht="12.75">
      <c r="A6" s="233" t="s">
        <v>286</v>
      </c>
      <c r="B6" s="234"/>
      <c r="C6" s="209">
        <f>0.02*C4</f>
        <v>11460534.3608</v>
      </c>
      <c r="D6" s="144"/>
    </row>
    <row r="7" spans="1:5" ht="12.75">
      <c r="A7" s="233" t="s">
        <v>297</v>
      </c>
      <c r="B7" s="234"/>
      <c r="C7" s="209">
        <f>D7+E7</f>
        <v>127772.49586807188</v>
      </c>
      <c r="D7" s="209">
        <f>('B. CVS_IACS'!C200/'B. CVS_Overall'!C5)*'B. CVS_IACS'!J195*'B. CVS_IACS'!J195</f>
        <v>675.2087472337413</v>
      </c>
      <c r="E7" s="209">
        <f>('B. CVS_NIACS'!C46/'B. CVS_Overall'!C5)*'B. CVS_NIACS'!J41*'B. CVS_NIACS'!J41</f>
        <v>127097.28712083814</v>
      </c>
    </row>
    <row r="8" spans="1:4" ht="12.75">
      <c r="A8" s="233" t="s">
        <v>295</v>
      </c>
      <c r="B8" s="234"/>
      <c r="C8" s="219">
        <f>184+30</f>
        <v>214</v>
      </c>
      <c r="D8" s="144"/>
    </row>
    <row r="9" spans="1:4" ht="12.75">
      <c r="A9" s="231" t="s">
        <v>294</v>
      </c>
      <c r="B9" s="232"/>
      <c r="C9" s="211">
        <f>(C5*1.14*SQRT(C7))/SQRT(C8)</f>
        <v>18105365.34913609</v>
      </c>
      <c r="D9" s="218"/>
    </row>
    <row r="10" spans="1:4" ht="12.75">
      <c r="A10" s="231" t="s">
        <v>293</v>
      </c>
      <c r="B10" s="232"/>
      <c r="C10" s="211">
        <f>'B. CVS_IACS'!C203+'B. CVS_NIACS'!C49</f>
        <v>13591686.68</v>
      </c>
      <c r="D10" s="144"/>
    </row>
    <row r="11" spans="1:4" ht="12.75">
      <c r="A11" s="231" t="s">
        <v>284</v>
      </c>
      <c r="B11" s="232"/>
      <c r="C11" s="211">
        <f>C9+C10</f>
        <v>31697052.02913609</v>
      </c>
      <c r="D11" s="144"/>
    </row>
  </sheetData>
  <sheetProtection/>
  <mergeCells count="9">
    <mergeCell ref="A11:B11"/>
    <mergeCell ref="A7:B7"/>
    <mergeCell ref="A8:B8"/>
    <mergeCell ref="A4:B4"/>
    <mergeCell ref="A2:C2"/>
    <mergeCell ref="A5:B5"/>
    <mergeCell ref="A6:B6"/>
    <mergeCell ref="A9:B9"/>
    <mergeCell ref="A10:B10"/>
  </mergeCells>
  <conditionalFormatting sqref="H1:L1">
    <cfRule type="expression" priority="5" dxfId="0" stopIfTrue="1">
      <formula>$K1="No"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0" r:id="rId5"/>
  <drawing r:id="rId4"/>
  <legacyDrawing r:id="rId3"/>
  <oleObjects>
    <oleObject progId="Equation.3" shapeId="1247551" r:id="rId1"/>
    <oleObject progId="Equation.3" shapeId="12475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rickema</dc:creator>
  <cp:keywords/>
  <dc:description/>
  <cp:lastModifiedBy>GRECEANU Dana (AGRI)</cp:lastModifiedBy>
  <cp:lastPrinted>2013-04-19T10:05:34Z</cp:lastPrinted>
  <dcterms:created xsi:type="dcterms:W3CDTF">2012-07-17T14:56:17Z</dcterms:created>
  <dcterms:modified xsi:type="dcterms:W3CDTF">2013-10-16T18:27:15Z</dcterms:modified>
  <cp:category/>
  <cp:version/>
  <cp:contentType/>
  <cp:contentStatus/>
</cp:coreProperties>
</file>