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5"/>
  </bookViews>
  <sheets>
    <sheet name="Postup" sheetId="1" r:id="rId1"/>
    <sheet name="Pravidla" sheetId="2" r:id="rId2"/>
    <sheet name="Smluvní ceník" sheetId="3" r:id="rId3"/>
    <sheet name="Stavební rozpočet - vzorový" sheetId="4" r:id="rId4"/>
    <sheet name="Krycí list rozpočtu" sheetId="5" r:id="rId5"/>
    <sheet name="VORN" sheetId="6" r:id="rId6"/>
  </sheets>
  <definedNames>
    <definedName name="_xlfn.SINGLE" hidden="1">#NAME?</definedName>
    <definedName name="_xlnm.Print_Area" localSheetId="4">'Krycí list rozpočtu'!$A$1:$I$37</definedName>
    <definedName name="_xlnm.Print_Area" localSheetId="3">'Stavební rozpočet - vzorový'!$A$1:$L$281</definedName>
    <definedName name="_xlnm.Print_Area" localSheetId="5">'VORN'!$A$1:$I$37</definedName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<sst xmlns="http://schemas.openxmlformats.org/spreadsheetml/2006/main" count="4263" uniqueCount="890">
  <si>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</si>
  <si>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</si>
  <si>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</si>
  <si>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</si>
  <si>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</si>
  <si>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</si>
  <si>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</si>
  <si>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</si>
  <si>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</si>
  <si>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</si>
  <si>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</si>
  <si>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</si>
  <si>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</si>
  <si>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</si>
  <si>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</si>
  <si>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</si>
  <si>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</si>
  <si>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</si>
  <si>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</si>
  <si>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</si>
  <si>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</si>
  <si>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</si>
  <si>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</si>
  <si>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</si>
  <si>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</si>
  <si>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</si>
  <si>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</si>
  <si>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</si>
  <si>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</si>
  <si>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</si>
  <si>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</si>
  <si>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</si>
  <si>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</si>
  <si>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</si>
  <si>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</si>
  <si>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</si>
  <si>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</si>
  <si>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</si>
  <si>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</si>
  <si>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</si>
  <si>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</si>
  <si>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</si>
  <si>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</si>
  <si>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</si>
  <si>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</si>
  <si>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</si>
  <si>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</si>
  <si>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</si>
  <si>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</si>
  <si>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</si>
  <si>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</si>
  <si>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</si>
  <si>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</si>
  <si>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</si>
  <si>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</si>
  <si>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</si>
  <si>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</si>
  <si>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</si>
  <si>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</si>
  <si>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</si>
  <si>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</si>
  <si>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</si>
  <si>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</si>
  <si>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</si>
  <si>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</si>
  <si>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</si>
  <si>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</si>
  <si>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</si>
  <si>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</si>
  <si>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</si>
  <si>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</si>
  <si>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</si>
  <si>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</si>
  <si>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</si>
  <si>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</si>
  <si>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</si>
  <si>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</si>
  <si>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</si>
  <si>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</si>
  <si>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</si>
  <si>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</si>
  <si>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</si>
  <si>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</si>
  <si>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</si>
  <si>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</si>
  <si>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</si>
  <si>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</si>
  <si>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</si>
  <si>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</si>
  <si>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</si>
  <si>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</si>
  <si>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</si>
  <si>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</si>
  <si>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</si>
  <si>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</si>
  <si>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</si>
  <si>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</si>
  <si>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</si>
  <si>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</si>
  <si>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</si>
  <si>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</si>
  <si>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</si>
  <si>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</si>
  <si>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</si>
  <si>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</si>
  <si>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</si>
  <si>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</si>
  <si>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</si>
  <si>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</si>
  <si>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</si>
  <si>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</si>
  <si>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</si>
  <si>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</si>
  <si>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</si>
  <si>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</si>
  <si>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</si>
  <si>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</si>
  <si>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</si>
  <si>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</si>
  <si>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</si>
  <si>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</si>
  <si>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</si>
  <si>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</si>
  <si>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</si>
  <si>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</si>
  <si>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</si>
  <si>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</si>
  <si>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</si>
  <si>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</si>
  <si>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</si>
  <si>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</si>
  <si>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</si>
  <si>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</si>
  <si>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</si>
  <si>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</si>
  <si>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</si>
  <si>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</si>
  <si>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</si>
  <si>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</si>
  <si>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</si>
  <si>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</si>
  <si>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</si>
  <si>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</si>
  <si>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</si>
  <si>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</si>
  <si>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</si>
  <si>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</si>
  <si>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</si>
  <si>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</si>
  <si>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</si>
  <si>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</si>
  <si>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</si>
  <si>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</si>
  <si>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</si>
  <si>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</si>
  <si>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</si>
  <si>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</si>
  <si>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</si>
  <si>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</si>
  <si>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</si>
  <si>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</si>
  <si>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</si>
  <si>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</si>
  <si>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</si>
  <si>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</si>
  <si>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</si>
  <si>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</si>
  <si>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</si>
  <si>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</si>
  <si>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</si>
  <si>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</si>
  <si>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</si>
  <si>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</si>
  <si>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</si>
  <si>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</si>
  <si>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</si>
  <si>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</si>
  <si>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</si>
  <si>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</si>
  <si>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</si>
  <si>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</si>
  <si>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</si>
  <si>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</si>
  <si>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</si>
  <si>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</si>
  <si>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</si>
  <si>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</si>
  <si>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</si>
  <si>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</si>
  <si>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</si>
  <si>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</si>
  <si>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</si>
  <si>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</si>
  <si>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</si>
  <si>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</si>
  <si>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</si>
  <si>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</si>
  <si>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</si>
  <si>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</si>
  <si>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</si>
  <si>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</si>
  <si>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</si>
  <si>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</si>
  <si>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</si>
  <si>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</si>
  <si>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</si>
  <si>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</si>
  <si>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</si>
  <si>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</si>
  <si>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</si>
  <si>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</si>
  <si>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</si>
  <si>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</si>
  <si>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</si>
  <si>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</si>
  <si>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</si>
  <si>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</si>
  <si>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</si>
  <si>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</si>
  <si>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</si>
  <si>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</si>
  <si>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</si>
  <si>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</si>
  <si>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</si>
  <si>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</si>
  <si>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</si>
  <si>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</si>
  <si>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</si>
  <si>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</si>
  <si>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</si>
  <si>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</si>
  <si>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</si>
  <si>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</si>
  <si>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</si>
  <si>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</si>
  <si>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</si>
  <si>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</si>
  <si>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</si>
  <si>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</si>
  <si>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</si>
  <si>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</si>
  <si>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</si>
  <si>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</si>
  <si>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</si>
  <si>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</si>
  <si>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</si>
  <si>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</si>
  <si>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</si>
  <si>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</si>
  <si>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Poznámka:</t>
  </si>
  <si>
    <t>Objekt</t>
  </si>
  <si>
    <t>Kód</t>
  </si>
  <si>
    <t>610991111R00</t>
  </si>
  <si>
    <t>762</t>
  </si>
  <si>
    <t>762621120R00</t>
  </si>
  <si>
    <t>762621130R00</t>
  </si>
  <si>
    <t>762193911R00</t>
  </si>
  <si>
    <t>762193912R00</t>
  </si>
  <si>
    <t>762193913R00</t>
  </si>
  <si>
    <t>762194911R00</t>
  </si>
  <si>
    <t>762194912R00</t>
  </si>
  <si>
    <t>762194913R00</t>
  </si>
  <si>
    <t>762321911R00</t>
  </si>
  <si>
    <t>762111811R00</t>
  </si>
  <si>
    <t>998762202R00</t>
  </si>
  <si>
    <t>998762203R00</t>
  </si>
  <si>
    <t>998762204R00</t>
  </si>
  <si>
    <t>998762294R00</t>
  </si>
  <si>
    <t>766</t>
  </si>
  <si>
    <t>766000001R00</t>
  </si>
  <si>
    <t>766000002R00</t>
  </si>
  <si>
    <t>766000003R00</t>
  </si>
  <si>
    <t>766000004R00</t>
  </si>
  <si>
    <t>766000005R00</t>
  </si>
  <si>
    <t>766000006R00</t>
  </si>
  <si>
    <t>766000007R00</t>
  </si>
  <si>
    <t>766000008R00</t>
  </si>
  <si>
    <t>766000009R00</t>
  </si>
  <si>
    <t>766000010R00</t>
  </si>
  <si>
    <t>766000011R00</t>
  </si>
  <si>
    <t>766000012R00</t>
  </si>
  <si>
    <t>766000013R00</t>
  </si>
  <si>
    <t>766000014R00</t>
  </si>
  <si>
    <t>766622921R00</t>
  </si>
  <si>
    <t>766622922R00</t>
  </si>
  <si>
    <t>766622911R00</t>
  </si>
  <si>
    <t>766622912R00</t>
  </si>
  <si>
    <t>766000015R00</t>
  </si>
  <si>
    <t>766661811R00</t>
  </si>
  <si>
    <t>766661821R00</t>
  </si>
  <si>
    <t>766661831R00</t>
  </si>
  <si>
    <t>766662811R00</t>
  </si>
  <si>
    <t>766662812R00</t>
  </si>
  <si>
    <t>766661911R00</t>
  </si>
  <si>
    <t>766661912R00</t>
  </si>
  <si>
    <t>766662911R00</t>
  </si>
  <si>
    <t>766662912R00</t>
  </si>
  <si>
    <t>766664911R00</t>
  </si>
  <si>
    <t>766664912R00</t>
  </si>
  <si>
    <t>766664915R00</t>
  </si>
  <si>
    <t>766664916R00</t>
  </si>
  <si>
    <t>766665911R00</t>
  </si>
  <si>
    <t>766665912R00</t>
  </si>
  <si>
    <t>766665921R00</t>
  </si>
  <si>
    <t>766665931R00</t>
  </si>
  <si>
    <t>766666911R00</t>
  </si>
  <si>
    <t>766666912R00</t>
  </si>
  <si>
    <t>766666921R00</t>
  </si>
  <si>
    <t>766666922R00</t>
  </si>
  <si>
    <t>766667911R00</t>
  </si>
  <si>
    <t>766667912R00</t>
  </si>
  <si>
    <t>766665922R00</t>
  </si>
  <si>
    <t>766665932R00</t>
  </si>
  <si>
    <t>766667931R00</t>
  </si>
  <si>
    <t>766667932R00</t>
  </si>
  <si>
    <t>766669913R00</t>
  </si>
  <si>
    <t>766669916R00</t>
  </si>
  <si>
    <t>766669917R00</t>
  </si>
  <si>
    <t>766669918R00</t>
  </si>
  <si>
    <t>766669921R00</t>
  </si>
  <si>
    <t>766669922R00</t>
  </si>
  <si>
    <t>766669923R00</t>
  </si>
  <si>
    <t>766669924R00</t>
  </si>
  <si>
    <t>766695212R00</t>
  </si>
  <si>
    <t>766695213R00</t>
  </si>
  <si>
    <t>766695232R00</t>
  </si>
  <si>
    <t>766695233R00</t>
  </si>
  <si>
    <t>766699721R00</t>
  </si>
  <si>
    <t>766699722R00</t>
  </si>
  <si>
    <t>766699723R00</t>
  </si>
  <si>
    <t>766699731R00</t>
  </si>
  <si>
    <t>766699732R00</t>
  </si>
  <si>
    <t>766699733R00</t>
  </si>
  <si>
    <t>766699741R00</t>
  </si>
  <si>
    <t>766699742R00</t>
  </si>
  <si>
    <t>766670021R00</t>
  </si>
  <si>
    <t>766661112R00</t>
  </si>
  <si>
    <t>766661122R00</t>
  </si>
  <si>
    <t>766661132R00</t>
  </si>
  <si>
    <t>766661142R00</t>
  </si>
  <si>
    <t>766662112R00</t>
  </si>
  <si>
    <t>766662122R00</t>
  </si>
  <si>
    <t>766662132R00</t>
  </si>
  <si>
    <t>766662142R00</t>
  </si>
  <si>
    <t>766662152R00</t>
  </si>
  <si>
    <t>766662162R00</t>
  </si>
  <si>
    <t>766662312R00</t>
  </si>
  <si>
    <t>766662322R00</t>
  </si>
  <si>
    <t>766662331R00</t>
  </si>
  <si>
    <t>766662341R00</t>
  </si>
  <si>
    <t>766662352R00</t>
  </si>
  <si>
    <t>766662362R00</t>
  </si>
  <si>
    <t>766669111R00</t>
  </si>
  <si>
    <t>766669112R00</t>
  </si>
  <si>
    <t>766669113R00</t>
  </si>
  <si>
    <t>766669116R00</t>
  </si>
  <si>
    <t>766669118R00</t>
  </si>
  <si>
    <t>766670011R00</t>
  </si>
  <si>
    <t>766670013R00</t>
  </si>
  <si>
    <t>766000199R00</t>
  </si>
  <si>
    <t>968061125R00</t>
  </si>
  <si>
    <t>968061126R00</t>
  </si>
  <si>
    <t>968061135R00</t>
  </si>
  <si>
    <t>968061136R00</t>
  </si>
  <si>
    <t>998766203R00</t>
  </si>
  <si>
    <t>998766294R00</t>
  </si>
  <si>
    <t>998766299R00</t>
  </si>
  <si>
    <t>998766101R00</t>
  </si>
  <si>
    <t>998766102R00</t>
  </si>
  <si>
    <t>998766103R00</t>
  </si>
  <si>
    <t>998766104R00</t>
  </si>
  <si>
    <t>998766192R00</t>
  </si>
  <si>
    <t>998766193R00</t>
  </si>
  <si>
    <t>998766194R00</t>
  </si>
  <si>
    <t>998766199R00</t>
  </si>
  <si>
    <t>767</t>
  </si>
  <si>
    <t>767000001R00</t>
  </si>
  <si>
    <t>767000002R00</t>
  </si>
  <si>
    <t>767000003R00</t>
  </si>
  <si>
    <t>767000004R00</t>
  </si>
  <si>
    <t>767000011R00</t>
  </si>
  <si>
    <t>767000012R00</t>
  </si>
  <si>
    <t>767000013R00</t>
  </si>
  <si>
    <t>767000021R00</t>
  </si>
  <si>
    <t>767000022R00</t>
  </si>
  <si>
    <t>767000023R00</t>
  </si>
  <si>
    <t>767000006R00</t>
  </si>
  <si>
    <t>767000010R00</t>
  </si>
  <si>
    <t>767000007R00</t>
  </si>
  <si>
    <t>767000005R00</t>
  </si>
  <si>
    <t>767000008R00</t>
  </si>
  <si>
    <t>767000009R00</t>
  </si>
  <si>
    <t>767612915R00</t>
  </si>
  <si>
    <t>767612921R00</t>
  </si>
  <si>
    <t>767612922R00</t>
  </si>
  <si>
    <t>998767201R00</t>
  </si>
  <si>
    <t>998767202R00</t>
  </si>
  <si>
    <t>998767203R00</t>
  </si>
  <si>
    <t>998767204R00</t>
  </si>
  <si>
    <t>998767292R00</t>
  </si>
  <si>
    <t>783</t>
  </si>
  <si>
    <t>783601831R00</t>
  </si>
  <si>
    <t>783000001R00</t>
  </si>
  <si>
    <t>783000002R00</t>
  </si>
  <si>
    <t>783626028R00</t>
  </si>
  <si>
    <t>783780010RA0</t>
  </si>
  <si>
    <t>783682171R00</t>
  </si>
  <si>
    <t>783682181R00</t>
  </si>
  <si>
    <t>783782221R00</t>
  </si>
  <si>
    <t>783726400R00</t>
  </si>
  <si>
    <t>783726500R00</t>
  </si>
  <si>
    <t>783620020RAG</t>
  </si>
  <si>
    <t>783620020RAH</t>
  </si>
  <si>
    <t>783620020RA0</t>
  </si>
  <si>
    <t>783620012RA0</t>
  </si>
  <si>
    <t>783620010RA0</t>
  </si>
  <si>
    <t>783620010RAC</t>
  </si>
  <si>
    <t>783615300R00</t>
  </si>
  <si>
    <t>783624300R00</t>
  </si>
  <si>
    <t>783625300R00</t>
  </si>
  <si>
    <t>783902811R00</t>
  </si>
  <si>
    <t>783602823R00</t>
  </si>
  <si>
    <t>783601813R00</t>
  </si>
  <si>
    <t>783903811R00</t>
  </si>
  <si>
    <t>783615930R00</t>
  </si>
  <si>
    <t>783614930R00</t>
  </si>
  <si>
    <t>783614920R00</t>
  </si>
  <si>
    <t>783613920R00</t>
  </si>
  <si>
    <t>783613900R00</t>
  </si>
  <si>
    <t>783612920R00</t>
  </si>
  <si>
    <t>783612900R00</t>
  </si>
  <si>
    <t>783624930R00</t>
  </si>
  <si>
    <t>783624920R00</t>
  </si>
  <si>
    <t>783623920R00</t>
  </si>
  <si>
    <t>783623900R00</t>
  </si>
  <si>
    <t>783622920R00</t>
  </si>
  <si>
    <t>783622900R00</t>
  </si>
  <si>
    <t>783625930R00</t>
  </si>
  <si>
    <t>783622940R00</t>
  </si>
  <si>
    <t>783622950R00</t>
  </si>
  <si>
    <t>783991910R00</t>
  </si>
  <si>
    <t>783991920R00</t>
  </si>
  <si>
    <t>783991930R00</t>
  </si>
  <si>
    <t>783992910R00</t>
  </si>
  <si>
    <t>783992920R00</t>
  </si>
  <si>
    <t>783992930R00</t>
  </si>
  <si>
    <t>783201811R00</t>
  </si>
  <si>
    <t>783201821R00</t>
  </si>
  <si>
    <t>783201831R00</t>
  </si>
  <si>
    <t>783904811R00</t>
  </si>
  <si>
    <t>783224900R00</t>
  </si>
  <si>
    <t>783225900R00</t>
  </si>
  <si>
    <t>783522900R00</t>
  </si>
  <si>
    <t>783215100R00</t>
  </si>
  <si>
    <t>783228990R00</t>
  </si>
  <si>
    <t>783322320R00</t>
  </si>
  <si>
    <t>783401811R00</t>
  </si>
  <si>
    <t>783401812R00</t>
  </si>
  <si>
    <t>783401813R00</t>
  </si>
  <si>
    <t>783424140R00</t>
  </si>
  <si>
    <t>783425150R00</t>
  </si>
  <si>
    <t>783426160R00</t>
  </si>
  <si>
    <t>787</t>
  </si>
  <si>
    <t>787600901R00</t>
  </si>
  <si>
    <t>787621270R00</t>
  </si>
  <si>
    <t>787622270R00</t>
  </si>
  <si>
    <t>787600801R00</t>
  </si>
  <si>
    <t>787600802R00</t>
  </si>
  <si>
    <t>787000001R00</t>
  </si>
  <si>
    <t>787000002R00</t>
  </si>
  <si>
    <t>787100001RA0</t>
  </si>
  <si>
    <t>787100002RA0</t>
  </si>
  <si>
    <t>787100003RA0</t>
  </si>
  <si>
    <t>787621280R00</t>
  </si>
  <si>
    <t>787623380R00</t>
  </si>
  <si>
    <t>998787294R00</t>
  </si>
  <si>
    <t>998787299R00</t>
  </si>
  <si>
    <t>998787201R00</t>
  </si>
  <si>
    <t>998787101R00</t>
  </si>
  <si>
    <t>998787102R00</t>
  </si>
  <si>
    <t>998787103R00</t>
  </si>
  <si>
    <t>998787104R00</t>
  </si>
  <si>
    <t>900      R01</t>
  </si>
  <si>
    <t>900      R02</t>
  </si>
  <si>
    <t>900      R03</t>
  </si>
  <si>
    <t>900      R04</t>
  </si>
  <si>
    <t>952901110R00</t>
  </si>
  <si>
    <t>952902110R00</t>
  </si>
  <si>
    <t>952901111R00</t>
  </si>
  <si>
    <t>952901114R00</t>
  </si>
  <si>
    <t>H99</t>
  </si>
  <si>
    <t>999281105R00</t>
  </si>
  <si>
    <t>999281108R00</t>
  </si>
  <si>
    <t>999281111R00</t>
  </si>
  <si>
    <t>999281112R00</t>
  </si>
  <si>
    <t>Zkrácený popis / Varianta</t>
  </si>
  <si>
    <t>Rozměry</t>
  </si>
  <si>
    <t>Úprava povrchů vnitřní</t>
  </si>
  <si>
    <t>Zakrývání výplní vnitřních otvorů</t>
  </si>
  <si>
    <t>Konstrukce tesařské</t>
  </si>
  <si>
    <t>Montáž dveří tesařských jednokřídlových</t>
  </si>
  <si>
    <t>Montáž dveří tesařských dvoukřídlových</t>
  </si>
  <si>
    <t>Zabednění otvorů stěn 1stranně deskami do pl.1 m2</t>
  </si>
  <si>
    <t>Zabednění otvorů stěn 1stranně deskami do pl.4 m2</t>
  </si>
  <si>
    <t>Zabednění otvorů stěn 1stranně deskami nad pl.4 m2</t>
  </si>
  <si>
    <t>Zabednění otvorů stěn 2stranně deskami do pl.1 m2</t>
  </si>
  <si>
    <t>Zabednění otvorů stěn 2stranně deskami do pl.4 m2</t>
  </si>
  <si>
    <t>Zabednění otvorů stěn 2stranně deskami nad pl.4 m2</t>
  </si>
  <si>
    <t>Zavětrování s podepřením, prkny 32 mm</t>
  </si>
  <si>
    <t>Demontáž stěn z hranolků, fošen nebo latí</t>
  </si>
  <si>
    <t>Přesun hmot pro tesařské konstrukce, výšky do 12 m</t>
  </si>
  <si>
    <t>Přesun hmot pro tesařské konstrukce, výšky do 24 m</t>
  </si>
  <si>
    <t>Přesun hmot pro tesařské konstrukce, výšky do 36 m</t>
  </si>
  <si>
    <t>Příplatek zvětšený přesun, tesařské konstr.do 1 km</t>
  </si>
  <si>
    <t>Konstrukce truhlářské</t>
  </si>
  <si>
    <t>Demontáž okenních křídel vnitřních o ploše do 1 m2</t>
  </si>
  <si>
    <t>Demontáž okenních křídel vnitřních o ploše do 3 m2</t>
  </si>
  <si>
    <t>Demontáž okenních křídel vnitřních o ploše nad 3 m2</t>
  </si>
  <si>
    <t>Montáž okenních křídel vnitřních o ploše do 1 m2</t>
  </si>
  <si>
    <t>Montáž okenních křídel vnitřních o ploše do 3 m2</t>
  </si>
  <si>
    <t>Montáž okenních křídel vnitřních o ploše nad 3 m2</t>
  </si>
  <si>
    <t>Demontáž okenních křídel vnějších o ploše do 1 m2</t>
  </si>
  <si>
    <t>Demontáž okenních křídel vnějších o ploše do 3 m2</t>
  </si>
  <si>
    <t>Demontáž okenních křídel vnějších o ploše nad 3 m2</t>
  </si>
  <si>
    <t>Montáž okenních křídel vnějších o ploše do 1 m2</t>
  </si>
  <si>
    <t>Montáž okenních křídel vnějších o ploše do 3 m2</t>
  </si>
  <si>
    <t>Montáž okenních křídel vnějších o ploše nad 3 m2</t>
  </si>
  <si>
    <t>Výroba dřevěných rámů s fólii na zabezpečení oken</t>
  </si>
  <si>
    <t>Montáž a demontáž provizorních okenních rámů</t>
  </si>
  <si>
    <t>vč. nezbytné manipulace, spojovacích prvků a prvků pro upevnění na místě</t>
  </si>
  <si>
    <t>Oprava oken dvojitých s deštěním, bez výměny prvků</t>
  </si>
  <si>
    <t>Oprava oken dvojitých s deštěním, s výměnou prvků</t>
  </si>
  <si>
    <t>Oprava oken dvojit. bez deštění, bez výměny prvků</t>
  </si>
  <si>
    <t>Oprava oken dvojit. bez deštění, s výměnou prvků</t>
  </si>
  <si>
    <t>Okno špaletové jedno křídlo - replika z masivního dřeva</t>
  </si>
  <si>
    <t>Demontáž okopného plechu</t>
  </si>
  <si>
    <t>Demontáž samozavírače</t>
  </si>
  <si>
    <t>Demontáž stavěče křídel</t>
  </si>
  <si>
    <t>Demontáž prahů dveří 1křídlových</t>
  </si>
  <si>
    <t>Demontáž prahů dveří 2křídlových</t>
  </si>
  <si>
    <t>Oprava dveřních křídel kompl., bez výměny prvků</t>
  </si>
  <si>
    <t>Oprava dveřních křídel kompl., s výměnou prvků</t>
  </si>
  <si>
    <t>Oprava dveří z tvrdého dřeva, bez výměny prvků</t>
  </si>
  <si>
    <t>Oprava dveří z tvrdého dřeva, s výměnou prvků</t>
  </si>
  <si>
    <t>Vyřezání otvoru v dveřních křídlech kompletizovan.</t>
  </si>
  <si>
    <t>Vyřezání otvoru v dveřních křídlech z tvrd. dřeva</t>
  </si>
  <si>
    <t>Seříznutí dveřních křídel  kompletizovaných</t>
  </si>
  <si>
    <t>Seříznutí dveřních křídel z tvrdého dřeva</t>
  </si>
  <si>
    <t>Překování dveří na opačnou stranu kompletizovaných</t>
  </si>
  <si>
    <t>Překování dveří na opačnou stranu z tvrdého dřeva</t>
  </si>
  <si>
    <t>Zakování dveří 1křídlých kompletizovaných</t>
  </si>
  <si>
    <t>Zakování dveří 2křídlých kompletizovaných</t>
  </si>
  <si>
    <t>Zakrytí dveřní výplně dveří kompletizovaných</t>
  </si>
  <si>
    <t>Zakrytí dveřní výplně dveří z tvrdého dřeva</t>
  </si>
  <si>
    <t>Výměna dveřní výplně dveří kompletizovaných</t>
  </si>
  <si>
    <t>Výměna dveřní výplně dveří z tvrdého dřeva</t>
  </si>
  <si>
    <t>Oprava obložení zárubní pro dveře 1křídlové</t>
  </si>
  <si>
    <t>Oprava obložení zárubní pro dveře 2křídlové</t>
  </si>
  <si>
    <t>Zakování dveří 1křídlých z tvrdého dřeva</t>
  </si>
  <si>
    <t>Zakování dveří 2křídlých z tvrdého dřeva</t>
  </si>
  <si>
    <t>Vyspravení dřevěné zárubně dveří 1křídlových</t>
  </si>
  <si>
    <t>Vyspravení dřevěné zárubně dveří 2křídlových</t>
  </si>
  <si>
    <t>Oprava okopného plechu</t>
  </si>
  <si>
    <t>Oprava samozavírače dveří na dřevěnou zárubeň</t>
  </si>
  <si>
    <t>Oprava samozavírače dveří na ocelovou zárubeň</t>
  </si>
  <si>
    <t>Oprava stavěče dveřních křídel</t>
  </si>
  <si>
    <t>Oprava dřevěných dveří - výměna zámku</t>
  </si>
  <si>
    <t>Oprava dveří - výměna vložky Fab</t>
  </si>
  <si>
    <t>Oprava dveří - výměna dveřního štítku</t>
  </si>
  <si>
    <t>Oprava dveří - výměna kukátka</t>
  </si>
  <si>
    <t>Montáž prahů dveří jednokřídlových š. do 10 cm</t>
  </si>
  <si>
    <t>Montáž prahů dveří jednokřídlových š. nad 10 cm</t>
  </si>
  <si>
    <t>Montáž prahů dveří dvoukřídlových š. do 10 cm</t>
  </si>
  <si>
    <t>Montáž prahů dveří dvoukřídlových š. nad 10 cm</t>
  </si>
  <si>
    <t>Překrytí spár lištou z měkkého dřeva, ploché</t>
  </si>
  <si>
    <t>Překrytí spár lištou z měkkého dřeva, rohové</t>
  </si>
  <si>
    <t>Překrytí spár lištou z měkkého dřeva, profilované</t>
  </si>
  <si>
    <t>Překrytí spár lištou z tvrdého dřeva, ploché</t>
  </si>
  <si>
    <t>Překrytí spár lištou z tvrdého dřeva, rohové</t>
  </si>
  <si>
    <t>Překrytí spár lištou z tvrdého dřeva, profilované</t>
  </si>
  <si>
    <t>Překrytí spár latí z měkkého dřeva</t>
  </si>
  <si>
    <t>Překrytí spár latí z tvrdého dřeva</t>
  </si>
  <si>
    <t>Montáž kliky a štítku</t>
  </si>
  <si>
    <t>Montáž dveří do zárubně,otevíravých 1kř.do 0,8 m</t>
  </si>
  <si>
    <t>Montáž dveří do zárubně,otevíravých 1kř.nad 0,8 m</t>
  </si>
  <si>
    <t>Montáž dveří do zárubně,otevíravých 2kř.do 1,45 m</t>
  </si>
  <si>
    <t>Montáž dveří do zárubně,otevíravých 2kř.nad 1,45 m</t>
  </si>
  <si>
    <t>Montáž dveří do rám.zárubně 1kříd. š.do 80 cm</t>
  </si>
  <si>
    <t>Montáž dveří do rám.zárubně 1kříd. š.nad 80 cm</t>
  </si>
  <si>
    <t>Montáž dveří do rám.zárubně 2kříd. š.do 145 cm</t>
  </si>
  <si>
    <t>Montáž dveří do rám.zárubně 2kříd. š.nad 145 cm</t>
  </si>
  <si>
    <t>Montáž nadsvětlíkových křídel H do 50 cm</t>
  </si>
  <si>
    <t>Montáž nadsvětlíkových křídel H nad 50 cm</t>
  </si>
  <si>
    <t>Montáž dveří do rámu,z tvr.dřeva,1kř. do 80 cm</t>
  </si>
  <si>
    <t>Montáž dveří do rámu,z tvr.dřeva,1kř. nad 80 cm</t>
  </si>
  <si>
    <t>Montáž dveří do rámu,z tvr.dřeva,2kř.do 145 cm</t>
  </si>
  <si>
    <t>Montáž dveří do rámu,z tvr.dřeva,2kř.nad 145 cm</t>
  </si>
  <si>
    <t>Montáž nadsvětlíkových křídel H do 50 cm, MD</t>
  </si>
  <si>
    <t>Montáž nadsvětlíkových křídel H nad 50 cm, MD</t>
  </si>
  <si>
    <t>Dokování závěsů na universální zárubeň, 1křídlové</t>
  </si>
  <si>
    <t>Dokování závěsů na universální zárubeň, 2křídlové</t>
  </si>
  <si>
    <t>Dokování okopného plechu</t>
  </si>
  <si>
    <t>Dokování samozavírače na dřevěnou zárubeň</t>
  </si>
  <si>
    <t>Dokování stavěče křídla</t>
  </si>
  <si>
    <t>Montáž obložkové zárubně a dřevěného křídla dveří</t>
  </si>
  <si>
    <t>Montáž obložkové zárubně a křídla dveří dvoukřídl.</t>
  </si>
  <si>
    <t>Truhlářská výroba, montáž a demontáž provizorních dveří do dřevěné zárubně</t>
  </si>
  <si>
    <t>vč. jednoduchého kování, pantů a zámku pro cylindrickou vložku (bez dodávky)</t>
  </si>
  <si>
    <t>Vyvěšení dřevěných dveřních křídel pl. do 2 m2</t>
  </si>
  <si>
    <t>Vyvěšení dřevěných dveřních křídel pl. nad 2 m2</t>
  </si>
  <si>
    <t>Zavěšení dřevěných dveřních křídel pl. do 2 m2</t>
  </si>
  <si>
    <t>Zavěšení dřevěných dveřních křídel pl. nad 2 m2</t>
  </si>
  <si>
    <t>Přesun hmot pro truhlářské konstrukce</t>
  </si>
  <si>
    <t>Příplatek zvětš. přesun, truhlář. konstr. do 1 km</t>
  </si>
  <si>
    <t>Příplatek zvětš. přesun, truhl. konstr. další 1 km</t>
  </si>
  <si>
    <t>Přesun hmot pro truhlářské konstr., výšky do 6 m</t>
  </si>
  <si>
    <t>Přesun hmot pro truhlářské konstr., výšky do 12 m</t>
  </si>
  <si>
    <t>Přesun hmot pro truhlářské konstr., výšky do 24 m</t>
  </si>
  <si>
    <t>Přesun hmot pro truhlářské konstr., výšky do 36 m</t>
  </si>
  <si>
    <t>Příplatek zvětš. přesun, truhlář. konstr. do 100 m</t>
  </si>
  <si>
    <t>Příplatek zvětš. přesun, truhlář. konstr. do 500 m</t>
  </si>
  <si>
    <t>Příplatek zvětš. přesun, truhlář. konstr. do 1km</t>
  </si>
  <si>
    <t>Drobné zámečnické práce</t>
  </si>
  <si>
    <t>Demontáž kování truhlářských prvků</t>
  </si>
  <si>
    <t>Replika dobových kliček</t>
  </si>
  <si>
    <t>výroba formy pro 1 prvek</t>
  </si>
  <si>
    <t>odlití</t>
  </si>
  <si>
    <t>povrchová úprava</t>
  </si>
  <si>
    <t>Replika dveřních klik</t>
  </si>
  <si>
    <t>odlití pro 1 prvek</t>
  </si>
  <si>
    <t>opracování, leštění pro 1 prvek</t>
  </si>
  <si>
    <t>Replika dveřních štítků</t>
  </si>
  <si>
    <t>Závěs okenní nosný ocelový</t>
  </si>
  <si>
    <t>Panty pro repliky historických dveří - výroba</t>
  </si>
  <si>
    <t>Montáž kování oken na okno (kličky, zarážky, závěsy)</t>
  </si>
  <si>
    <t>Výroba kovaných okenních zarážek</t>
  </si>
  <si>
    <t>Vyčištění a vyleštění okenních kliček</t>
  </si>
  <si>
    <t>vč.mechanismu rozvory</t>
  </si>
  <si>
    <t>Vyčištění a vyleštění klik a štítků</t>
  </si>
  <si>
    <t>Oprava - seřízení dřevěného okna</t>
  </si>
  <si>
    <t>Oprava - seřízení dřevěných dveří jednokřídlových</t>
  </si>
  <si>
    <t>Oprava - seřízení dřevěných dveří dvoukřídlových</t>
  </si>
  <si>
    <t>Přesun hmot pro zámečnické konstr., výšky do 6 m</t>
  </si>
  <si>
    <t>Přesun hmot pro zámečnické konstr., výšky do 12 m</t>
  </si>
  <si>
    <t>Přesun hmot pro zámečnické konstr., výšky do 24 m</t>
  </si>
  <si>
    <t>Přesun hmot pro zámečnické konstr., výšky do 36 m</t>
  </si>
  <si>
    <t>Příplatek zvětš. přesun, zámeč. konstr. do 100 m</t>
  </si>
  <si>
    <t>Nátěry</t>
  </si>
  <si>
    <t>Odstr. nátěrů z dřev.oken chemickými odstraňovači</t>
  </si>
  <si>
    <t>Napuštění oken v oleji</t>
  </si>
  <si>
    <t>např. Borma, Bona,Osmo</t>
  </si>
  <si>
    <t>Nátěr olejový truhlářský krycí odpovídající barevnosti</t>
  </si>
  <si>
    <t>fermežová barva</t>
  </si>
  <si>
    <t>Tmelení defektů povrchu truhl. výrobků</t>
  </si>
  <si>
    <t>Impregnace tesařských konstrukcí</t>
  </si>
  <si>
    <t>Impregnace olejová oken a dveří 1x</t>
  </si>
  <si>
    <t>Lazura ochranná olejová  oken a dveří 2x</t>
  </si>
  <si>
    <t>Nátěr tesařských konstrukcí 2x</t>
  </si>
  <si>
    <t>Nátěr lazurovací tesařských konstr. 1x lak</t>
  </si>
  <si>
    <t>Nátěr lazurovací tesařských konstr. 2x lak</t>
  </si>
  <si>
    <t>Nátěr truhlářských výrobků lazurovacím lakem jednonásobný</t>
  </si>
  <si>
    <t>Nátěr truhlářských výrobků lazurovacím lakem dvojnásobný</t>
  </si>
  <si>
    <t>Nátěr truhlářských výrobků lazurovacím lakem</t>
  </si>
  <si>
    <t>Nátěr truhlářských výrobků syntetický</t>
  </si>
  <si>
    <t>dvojnásobný krycí+2x tmelení+2x email</t>
  </si>
  <si>
    <t>Nátěr olejový truhlář. výrobků 2x +2x email +2x tm</t>
  </si>
  <si>
    <t>Nátěr synt. truhl. výrobků 2x + 1x email + 2x tmel</t>
  </si>
  <si>
    <t>Nátěr synt. truhl. výrobků 2x + 2x email.+2x tmel</t>
  </si>
  <si>
    <t>Odstranění nátěrů odstraňovačem P 8212</t>
  </si>
  <si>
    <t>Odstranění nátěrů truhlářských, dveří opálením</t>
  </si>
  <si>
    <t>Odstranění nátěrů truhlářských, dveří oškrábáním</t>
  </si>
  <si>
    <t>Odmaštění chemickými rozpouštědly</t>
  </si>
  <si>
    <t>Údržba, nátěr olej.truhl.výrobků 2x+2x email+2x tm</t>
  </si>
  <si>
    <t>Údržba, nátěr olej.truhl.výrobků 2x+1x email+2x tm</t>
  </si>
  <si>
    <t>Údržba, nátěr olej.truhl.výrobků 2x+1x email+1x tm</t>
  </si>
  <si>
    <t>Údržba, nátěr olej.truhl.výrobků 1x+1x email+1x tm</t>
  </si>
  <si>
    <t>Údržba, nátěr olej. truhlář. výrobků.1x + 1x email</t>
  </si>
  <si>
    <t>Údržba, nátěr olejový truhlář. výrobků 2x +1x tmel</t>
  </si>
  <si>
    <t>Údržba, nátěr olejový truhlářských výrobků 2x</t>
  </si>
  <si>
    <t>Údržba, nátěr synt. truhl.výr. 2x +1x email +2x tm</t>
  </si>
  <si>
    <t>Údržba, nátěr synt. truhl.výr. 2x +1x email +1x tm</t>
  </si>
  <si>
    <t>Údržba, nátěr synt. truhl.výr. 1x +1x email +1x tm</t>
  </si>
  <si>
    <t>Údržba, nátěr synt. truhl. výrobků 1x + 1x email</t>
  </si>
  <si>
    <t>Údržba, nátěr syntetický truhl. výrobků 2x + 1x tm</t>
  </si>
  <si>
    <t>Údržba, nátěr syntetický truhl. výrobků 2x</t>
  </si>
  <si>
    <t>Údržba, nátěr synt. truhl.výr. 2x +2x email +2x tm</t>
  </si>
  <si>
    <t>Údržba, nátěr synt. truhl. výr. 2x +1x lak +2x tm</t>
  </si>
  <si>
    <t>Údržba, nátěr synt. truhl. výr. 2x +2x lak +2x tm</t>
  </si>
  <si>
    <t>Údržba, přemíst. křídel oken/dveří vodor. do 50 m</t>
  </si>
  <si>
    <t>Údržba, přemíst. křídel oken/dveří vodor. do 100 m</t>
  </si>
  <si>
    <t>Údržba, přemístění křídel svisle za jedno podlaží</t>
  </si>
  <si>
    <t>Údržba, přípl. za další vyvěš./zavěš. oken.křídel</t>
  </si>
  <si>
    <t>Údržba, přípl. za další vyvěš./zavěš. křídel zdvoj</t>
  </si>
  <si>
    <t>Údržba, přípl. za další vyvěš./zavěš dveřních kříd</t>
  </si>
  <si>
    <t>Odstranění nátěrů z kovových konstrukcí oškrábáním</t>
  </si>
  <si>
    <t>Odstranění nátěrů z kovových konstrukcí opálením</t>
  </si>
  <si>
    <t>Odstr. nátěrů z kovových konstr. chem.odstraňovači</t>
  </si>
  <si>
    <t>Odrezivění kovových konstrukcí</t>
  </si>
  <si>
    <t>Údržba, nátěr syntetický kov. konstr.1x + 1x email</t>
  </si>
  <si>
    <t>Údržba, nátěr syntetický kovových konstr. 1x email</t>
  </si>
  <si>
    <t>Údržba, nátěr syntet. klempířských konstr. Z + 2 x</t>
  </si>
  <si>
    <t>Nátěr olejový kovových konstrukcí 2x + 1x email</t>
  </si>
  <si>
    <t>Údržba, příplatek za syntetický nátěr, pevné mříže</t>
  </si>
  <si>
    <t>Nátěr syntetický ocel. radiát. článků 2x +2x email</t>
  </si>
  <si>
    <t>Odstranění nátěru z potrubí DN do 50 mm</t>
  </si>
  <si>
    <t>Odstranění nátěru z potrubí DN do 100 mm</t>
  </si>
  <si>
    <t>Odstranění nátěru z potrubí DN do 150 mm</t>
  </si>
  <si>
    <t>Nátěr syntetický potrubí do DN 50 mm  Z + 2x</t>
  </si>
  <si>
    <t>Nátěr syntetický potrubí do DN 100 mm  Z + 2x</t>
  </si>
  <si>
    <t>Nátěr syntetický potrubí do DN 150 mm  Z + 2x</t>
  </si>
  <si>
    <t>Zasklívání</t>
  </si>
  <si>
    <t>Oprava - zasklívání oken a dveří - přetmelení</t>
  </si>
  <si>
    <t>Zasklívání oken a dveří vývěs do sklenářského tmele</t>
  </si>
  <si>
    <t>Zasklívání oken a dveří pevných do sklenářského tmele</t>
  </si>
  <si>
    <t>Vysklívání oken a dveří skla plochého o ploše do 1 m2</t>
  </si>
  <si>
    <t>Vysklívání oken a dveří skla plochého o ploše do 3 m2</t>
  </si>
  <si>
    <t>Vysklívání oken a dveří skla plochého nevyvěšeného</t>
  </si>
  <si>
    <t>UV fólie na sklo</t>
  </si>
  <si>
    <t>Zasklívání sklem jednod. tloušťky 2-4 mm, na tmel</t>
  </si>
  <si>
    <t>Zasklívání sklem jednod. tloušťky 5-6 mm, na lišty</t>
  </si>
  <si>
    <t>Zasklívání drátosklem tloušťky 6-8 mm, na tmel</t>
  </si>
  <si>
    <t>Zasklívání oken a dveří vývěs.,pod/zatmel. matovaným 4</t>
  </si>
  <si>
    <t>Zasklívání oken a dveří na lišty sklem matovaným tl. 4 mm</t>
  </si>
  <si>
    <t>Příplatek zvětšený přesun, zasklívání do 1 km</t>
  </si>
  <si>
    <t>Příplatek zvětšený přesun, zasklívání další 1 km</t>
  </si>
  <si>
    <t>Přesun hmot pro zasklívání</t>
  </si>
  <si>
    <t>Přesun hmot pro zasklívání, výšky do 6 m</t>
  </si>
  <si>
    <t>Přesun hmot pro zasklívání, výšky do 12 m</t>
  </si>
  <si>
    <t>Přesun hmot pro zasklívání, výšky do 24 m</t>
  </si>
  <si>
    <t>Přesun hmot pro zasklívání, výšky do 36 m</t>
  </si>
  <si>
    <t>Hodinové zúčtovací sazby (HZS)</t>
  </si>
  <si>
    <t>HZS pro truhlářské práce</t>
  </si>
  <si>
    <t>HZS pro zámečnické a kovářské práce</t>
  </si>
  <si>
    <t>HZS pro sklenářské práce</t>
  </si>
  <si>
    <t>HZS pro malířské a natěračské práce</t>
  </si>
  <si>
    <t>Pomocné a dokončovací práce</t>
  </si>
  <si>
    <t>Čištění mytím vnějších ploch oken a dveří</t>
  </si>
  <si>
    <t>Čištění zametáním v místnostech a chodbách</t>
  </si>
  <si>
    <t>Vyčištění budov o výšce podlaží do 4 m</t>
  </si>
  <si>
    <t>Vyčištění budov o výšce podlaží nad 4 m</t>
  </si>
  <si>
    <t>Ostatní přesuny hmot</t>
  </si>
  <si>
    <t>Přesun hmot pro opravy a údržbu do výšky 6 m</t>
  </si>
  <si>
    <t>Přesun hmot pro opravy a údržbu do výšky 12 m</t>
  </si>
  <si>
    <t>Přesun hmot pro opravy a údržbu do výšky 25 m</t>
  </si>
  <si>
    <t>Přesun hmot pro opravy a údržbu do výšky 36 m</t>
  </si>
  <si>
    <t>Doba výstavby:</t>
  </si>
  <si>
    <t>Začátek výstavby:</t>
  </si>
  <si>
    <t>Konec výstavby:</t>
  </si>
  <si>
    <t>Zpracováno dne:</t>
  </si>
  <si>
    <t>MJ</t>
  </si>
  <si>
    <t>m2</t>
  </si>
  <si>
    <t>m</t>
  </si>
  <si>
    <t>%</t>
  </si>
  <si>
    <t>kus</t>
  </si>
  <si>
    <t>t</t>
  </si>
  <si>
    <t>kpl</t>
  </si>
  <si>
    <t>pár</t>
  </si>
  <si>
    <t>h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</si>
  <si>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</si>
  <si>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</si>
  <si>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</si>
  <si>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</si>
  <si>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</si>
  <si>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</si>
  <si>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</si>
  <si>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</si>
  <si>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</si>
  <si>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</si>
  <si>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</si>
  <si>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dle výběrového řízení</t>
  </si>
  <si>
    <t>Montáž</t>
  </si>
  <si>
    <t>Celkem</t>
  </si>
  <si>
    <t>Hmotnost (t)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</si>
  <si>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</si>
  <si>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</si>
  <si>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</si>
  <si>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</si>
  <si>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</si>
  <si>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</si>
  <si>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</si>
  <si>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</si>
  <si>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</si>
  <si>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</si>
  <si>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</si>
  <si>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762_</t>
  </si>
  <si>
    <t>766_</t>
  </si>
  <si>
    <t>767_</t>
  </si>
  <si>
    <t>783_</t>
  </si>
  <si>
    <t>787_</t>
  </si>
  <si>
    <t>90_</t>
  </si>
  <si>
    <t>95_</t>
  </si>
  <si>
    <t>H99_</t>
  </si>
  <si>
    <t>6_</t>
  </si>
  <si>
    <t>76_</t>
  </si>
  <si>
    <t>78_</t>
  </si>
  <si>
    <t>9_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</si>
  <si>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</si>
  <si>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</si>
  <si>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</si>
  <si>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</si>
  <si>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</si>
  <si>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</si>
  <si>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</si>
  <si>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</si>
  <si>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</si>
  <si>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</si>
  <si>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</si>
  <si>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</si>
  <si>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</si>
  <si>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</si>
  <si>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</si>
  <si>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</si>
  <si>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</si>
  <si>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</si>
  <si>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</si>
  <si>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</si>
  <si>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</si>
  <si>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Provozní vlivy</t>
  </si>
  <si>
    <t>Ostatní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</si>
  <si>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</si>
  <si>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</si>
  <si>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</si>
  <si>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</si>
  <si>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</si>
  <si>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</si>
  <si>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</si>
  <si>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</si>
  <si>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</si>
  <si>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</si>
  <si>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</si>
  <si>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</si>
  <si>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</si>
  <si>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</si>
  <si>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</si>
  <si>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</si>
  <si>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</si>
  <si>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</si>
  <si>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</si>
  <si>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</si>
  <si>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</si>
  <si>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</si>
  <si>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</si>
  <si>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</si>
  <si>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</si>
  <si>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</si>
  <si>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</si>
  <si>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</si>
  <si>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</si>
  <si>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</si>
  <si>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</si>
  <si>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</si>
  <si>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Základna</t>
  </si>
  <si>
    <t>Postup vyplnění slepého rozpočtu</t>
  </si>
  <si>
    <t xml:space="preserve"> - do listu Stavební rozpočet - vzorový se automaticky doplní jednotkové ceny položek</t>
  </si>
  <si>
    <t>Pravidla pro kalkulaci cen</t>
  </si>
  <si>
    <t>Přípravné a inženýrské práce</t>
  </si>
  <si>
    <t>V jednotkových cenách jsou obsaženy:</t>
  </si>
  <si>
    <t>Součástí jednotkových cen jsou:</t>
  </si>
  <si>
    <t xml:space="preserve"> - (2) náklady na výkon činností osoby pověřené odborným vedením stavby, která musí být po celou běžnou pracovní dobu přítomna na staveništi (pracovišti) a bude kontaktním pracovníkem ve vztahu k objednateli  (objednatel upozorňuje, že v době nepřítomnosti osoby pověřené odborným vedením stavby, bude tuto osobu plně nahrazovat po celou dobu nepřítomnosti osoba profesně zdatná s odpovídající kvalifikací a praxí).</t>
  </si>
  <si>
    <t>Komplexnost cen, pořizovací přirážka, ztratné</t>
  </si>
  <si>
    <t>Jednotkové ceny obsahují kromě dodávky nebo práce uvedené v základním popisu i všechny potřebné pomocné dodávky a práce pro upevnění, zabezpečení funkčnosti a finální pohledové úpravy, které jsou běžně součástí dodávaného výrobku, systému nebo práce a nejsou výslovně uvedeny jako samostatné položky.</t>
  </si>
  <si>
    <t>Dodávky materiálů, které výslovně nejsou dle popisu obsahem jednotkových cen budou oceňovány v cenách pořízení, pořizovací přirážka (včet.dopravného a balného) se stanoví v paušální sazbě max.10%; pořizovací přirážka bude uváděna v cenové nabídce samostatně.</t>
  </si>
  <si>
    <t>Tvorba nových cen</t>
  </si>
  <si>
    <t>Všude, kde je to možné, použije dodavatel srovnatelné ceny, např. z Katalogu popisů a směrných cen stavebních prací ÚRS (dále jen Katalogu) s odkazem na číselné uznačení příslušné položky v Katalogu.</t>
  </si>
  <si>
    <t>Pokud není možné užít srovnatelné ceny, vypracuje dodavatel individuální kalkulaci položky, nebo ve vyjímečných případech použije pro ocenění práce (se svolením objednatele) hodinové zúčtovací sazby (dále jen HZS).</t>
  </si>
  <si>
    <t>787000003R00</t>
  </si>
  <si>
    <t>787000000R00</t>
  </si>
  <si>
    <t>Těsnění oken samolepící</t>
  </si>
  <si>
    <t>Těsnění oken silikonové do drážky 4-6 mm, drážkování</t>
  </si>
  <si>
    <t>Oprava oken a dveří v objektu VZ I</t>
  </si>
  <si>
    <t>Státní tiskárna cenin, s. p.</t>
  </si>
  <si>
    <t>Růžová 943/6, Nové Město, 110 00 Praha 1</t>
  </si>
  <si>
    <t>07.02.2024</t>
  </si>
  <si>
    <t>Památková rezervace</t>
  </si>
  <si>
    <t xml:space="preserve"> - v listu Smluvní ceník doplňte jednotkové ceny jednotlivých položek (buňky určené k vyplnění mají žluté pozadí) </t>
  </si>
  <si>
    <t xml:space="preserve"> - v listu VORN doplňte vedlejší náklady a to buď v % nebo v Kč do buněk, kde jsou uvedeny 0,00 (buňky určené k vyplnění mají žluté pozadí)</t>
  </si>
  <si>
    <t>O p r a v y   oken a dveří v objektu VZ I</t>
  </si>
  <si>
    <t>Podmínky dané umístěním objektu VZ I v památkové rezervaci</t>
  </si>
  <si>
    <t xml:space="preserve">Základní podmínkou dodávky je kvalitativní standard dodávek a prací, daný požadavky investora. Obecně klade objednatel velký důraz na nutnost té nejvyšší jakosti prováděných prací vzhledem k umístění objektu VZ I v památkové rezervaci. </t>
  </si>
  <si>
    <t xml:space="preserve">Jednotkové ceny uchazeče zahrnují veškeré vedlejší rozpočtové náklady. Provádění jednotlivých akcí bude probíhat za plného provozu objektu VZ I.  Veškeré práce v prostorách budou prováděny pouze po dohodě a dle časových požadavků investora. </t>
  </si>
  <si>
    <t xml:space="preserve"> - (1) náklady na vstupní prohlídku dotčených prostor </t>
  </si>
  <si>
    <t xml:space="preserve"> - (2) náklady na vypracování souhrnu zjištěných nedostatků, vypracování časového koordinačního harmonogramu postupu veškerých prováděných prací.</t>
  </si>
  <si>
    <t xml:space="preserve"> - (1) náklady na koordinace veškerých prací prováděných v dotčeném prostoru.</t>
  </si>
  <si>
    <t>Manipulace s materiálem (tzv. přesun hmot) v prostorách VZ I  a v jeho areálu, se všemi omezeními, danými bezpečnostními předpisy platnými pro dotčené prostory VZ I. V jednotkových cenách jsou obsaženy i náklady na zvýšenou opatrnost při udržování trvalé čistoty prostor, užívaných jako aktuální dopravní cesta.</t>
  </si>
  <si>
    <t>V jednotkových cenách jsou rovněž započteny náklady na odstranění odpadu, to se týká veškerých položek, při jejichž realizaci vzniká odpad (včetně případného ručního přesunu svislého a vodorovného a jejího pytlování), odvoz a uložení na skládku. I při manipulaci se sutí a odpadem platí nutnost udržení trvalé čistoty dopravních cest.</t>
  </si>
  <si>
    <t>Ztratné nosných materiálů dle bodu 8 se stanoví v návaznosti na velikost a členitost plochy, mj. s přihlédnutím k metodice typu URS.</t>
  </si>
  <si>
    <t>Cenové nabídky na jednotlivé akce nebudou (s vyjímkou dle bodu 8) obsahovat žádné dodatečné přirážky.</t>
  </si>
  <si>
    <t>Fakturace bude prováděna průběžně s vyčíslením nákladů po jednotlivých akcích v návaznosti na cenové nabídky.</t>
  </si>
  <si>
    <t>Individuální kalkulace musí, pokud to charakter ceny umožňuje, obsahovat rozdělení na materiál, práci (spotřeba času a cena práce) a hrubé rozpětí (režie a zisk). Konečně zkalkulovaná cena musí splňovat podmínky obsažené v bodech 1 až 10.</t>
  </si>
  <si>
    <t>00001279/CZ00001279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</si>
</sst>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5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0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16" fillId="0" borderId="0">
      <alignment/>
      <protection/>
    </xf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4">
    <xf numFmtId="0" fontId="1" fillId="0" borderId="0" xfId="0" applyFont="1" applyAlignment="1">
      <alignment vertical="center"/>
    </xf>
    <xf numFmtId="4" fontId="5" fillId="33" borderId="0" xfId="0" applyNumberFormat="1" applyFont="1" applyFill="1" applyBorder="1" applyAlignment="1" applyProtection="1">
      <alignment horizontal="right" vertical="center"/>
      <protection locked="0"/>
    </xf>
    <xf numFmtId="4" fontId="6" fillId="33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1" fillId="0" borderId="10" xfId="0" applyNumberFormat="1" applyFont="1" applyFill="1" applyBorder="1" applyAlignment="1" applyProtection="1">
      <alignment vertical="center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hidden="1"/>
    </xf>
    <xf numFmtId="49" fontId="3" fillId="0" borderId="12" xfId="0" applyNumberFormat="1" applyFont="1" applyFill="1" applyBorder="1" applyAlignment="1" applyProtection="1">
      <alignment horizontal="left" vertical="center"/>
      <protection hidden="1"/>
    </xf>
    <xf numFmtId="49" fontId="3" fillId="0" borderId="12" xfId="0" applyNumberFormat="1" applyFont="1" applyFill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alignment vertical="center"/>
      <protection hidden="1"/>
    </xf>
    <xf numFmtId="49" fontId="1" fillId="0" borderId="15" xfId="0" applyNumberFormat="1" applyFont="1" applyFill="1" applyBorder="1" applyAlignment="1" applyProtection="1">
      <alignment horizontal="center" vertical="center"/>
      <protection hidden="1"/>
    </xf>
    <xf numFmtId="49" fontId="1" fillId="0" borderId="16" xfId="0" applyNumberFormat="1" applyFont="1" applyFill="1" applyBorder="1" applyAlignment="1" applyProtection="1">
      <alignment horizontal="left" vertical="center"/>
      <protection hidden="1"/>
    </xf>
    <xf numFmtId="49" fontId="3" fillId="0" borderId="16" xfId="0" applyNumberFormat="1" applyFont="1" applyFill="1" applyBorder="1" applyAlignment="1" applyProtection="1">
      <alignment horizontal="left" vertical="center"/>
      <protection hidden="1"/>
    </xf>
    <xf numFmtId="49" fontId="3" fillId="0" borderId="17" xfId="0" applyNumberFormat="1" applyFont="1" applyFill="1" applyBorder="1" applyAlignment="1" applyProtection="1">
      <alignment horizontal="center" vertical="center"/>
      <protection hidden="1"/>
    </xf>
    <xf numFmtId="49" fontId="3" fillId="0" borderId="18" xfId="0" applyNumberFormat="1" applyFont="1" applyFill="1" applyBorder="1" applyAlignment="1" applyProtection="1">
      <alignment horizontal="center" vertical="center"/>
      <protection hidden="1"/>
    </xf>
    <xf numFmtId="49" fontId="3" fillId="0" borderId="19" xfId="0" applyNumberFormat="1" applyFont="1" applyFill="1" applyBorder="1" applyAlignment="1" applyProtection="1">
      <alignment horizontal="center" vertical="center"/>
      <protection hidden="1"/>
    </xf>
    <xf numFmtId="49" fontId="3" fillId="0" borderId="20" xfId="0" applyNumberFormat="1" applyFont="1" applyFill="1" applyBorder="1" applyAlignment="1" applyProtection="1">
      <alignment horizontal="center" vertical="center"/>
      <protection hidden="1"/>
    </xf>
    <xf numFmtId="49" fontId="8" fillId="34" borderId="0" xfId="0" applyNumberFormat="1" applyFont="1" applyFill="1" applyBorder="1" applyAlignment="1" applyProtection="1">
      <alignment horizontal="right" vertical="center"/>
      <protection hidden="1"/>
    </xf>
    <xf numFmtId="49" fontId="4" fillId="34" borderId="21" xfId="0" applyNumberFormat="1" applyFont="1" applyFill="1" applyBorder="1" applyAlignment="1" applyProtection="1">
      <alignment horizontal="center" vertical="center"/>
      <protection hidden="1"/>
    </xf>
    <xf numFmtId="49" fontId="8" fillId="34" borderId="21" xfId="0" applyNumberFormat="1" applyFont="1" applyFill="1" applyBorder="1" applyAlignment="1" applyProtection="1">
      <alignment horizontal="left" vertical="center"/>
      <protection hidden="1"/>
    </xf>
    <xf numFmtId="49" fontId="4" fillId="34" borderId="21" xfId="0" applyNumberFormat="1" applyFont="1" applyFill="1" applyBorder="1" applyAlignment="1" applyProtection="1">
      <alignment horizontal="left" vertical="center"/>
      <protection hidden="1"/>
    </xf>
    <xf numFmtId="4" fontId="8" fillId="34" borderId="21" xfId="0" applyNumberFormat="1" applyFont="1" applyFill="1" applyBorder="1" applyAlignment="1" applyProtection="1">
      <alignment horizontal="right" vertical="center"/>
      <protection hidden="1"/>
    </xf>
    <xf numFmtId="49" fontId="8" fillId="34" borderId="21" xfId="0" applyNumberFormat="1" applyFont="1" applyFill="1" applyBorder="1" applyAlignment="1" applyProtection="1">
      <alignment horizontal="right" vertical="center"/>
      <protection hidden="1"/>
    </xf>
    <xf numFmtId="4" fontId="8" fillId="34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Fill="1" applyBorder="1" applyAlignment="1" applyProtection="1">
      <alignment horizontal="right" vertical="center"/>
      <protection hidden="1"/>
    </xf>
    <xf numFmtId="49" fontId="4" fillId="34" borderId="0" xfId="0" applyNumberFormat="1" applyFont="1" applyFill="1" applyBorder="1" applyAlignment="1" applyProtection="1">
      <alignment horizontal="center" vertical="center"/>
      <protection hidden="1"/>
    </xf>
    <xf numFmtId="49" fontId="8" fillId="34" borderId="0" xfId="0" applyNumberFormat="1" applyFont="1" applyFill="1" applyBorder="1" applyAlignment="1" applyProtection="1">
      <alignment horizontal="left" vertical="center"/>
      <protection hidden="1"/>
    </xf>
    <xf numFmtId="49" fontId="4" fillId="34" borderId="0" xfId="0" applyNumberFormat="1" applyFont="1" applyFill="1" applyBorder="1" applyAlignment="1" applyProtection="1">
      <alignment horizontal="left" vertical="center"/>
      <protection hidden="1"/>
    </xf>
    <xf numFmtId="49" fontId="4" fillId="34" borderId="0" xfId="0" applyNumberFormat="1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22" xfId="0" applyNumberFormat="1" applyFont="1" applyFill="1" applyBorder="1" applyAlignment="1" applyProtection="1">
      <alignment horizontal="center" vertical="center"/>
      <protection hidden="1"/>
    </xf>
    <xf numFmtId="49" fontId="5" fillId="0" borderId="22" xfId="0" applyNumberFormat="1" applyFont="1" applyFill="1" applyBorder="1" applyAlignment="1" applyProtection="1">
      <alignment horizontal="left" vertical="center"/>
      <protection hidden="1"/>
    </xf>
    <xf numFmtId="4" fontId="5" fillId="0" borderId="22" xfId="0" applyNumberFormat="1" applyFont="1" applyFill="1" applyBorder="1" applyAlignment="1" applyProtection="1">
      <alignment horizontal="right" vertical="center"/>
      <protection hidden="1"/>
    </xf>
    <xf numFmtId="0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1" fillId="0" borderId="23" xfId="0" applyNumberFormat="1" applyFont="1" applyFill="1" applyBorder="1" applyAlignment="1" applyProtection="1">
      <alignment vertical="center"/>
      <protection hidden="1"/>
    </xf>
    <xf numFmtId="4" fontId="3" fillId="0" borderId="23" xfId="0" applyNumberFormat="1" applyFont="1" applyFill="1" applyBorder="1" applyAlignment="1" applyProtection="1">
      <alignment horizontal="right" vertical="center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49" fontId="11" fillId="35" borderId="24" xfId="0" applyNumberFormat="1" applyFont="1" applyFill="1" applyBorder="1" applyAlignment="1" applyProtection="1">
      <alignment horizontal="center" vertical="center"/>
      <protection hidden="1"/>
    </xf>
    <xf numFmtId="49" fontId="12" fillId="0" borderId="25" xfId="0" applyNumberFormat="1" applyFont="1" applyFill="1" applyBorder="1" applyAlignment="1" applyProtection="1">
      <alignment horizontal="left" vertical="center"/>
      <protection hidden="1"/>
    </xf>
    <xf numFmtId="49" fontId="13" fillId="0" borderId="24" xfId="0" applyNumberFormat="1" applyFont="1" applyFill="1" applyBorder="1" applyAlignment="1" applyProtection="1">
      <alignment horizontal="left" vertical="center"/>
      <protection hidden="1"/>
    </xf>
    <xf numFmtId="4" fontId="13" fillId="0" borderId="24" xfId="0" applyNumberFormat="1" applyFont="1" applyFill="1" applyBorder="1" applyAlignment="1" applyProtection="1">
      <alignment horizontal="right" vertical="center"/>
      <protection hidden="1"/>
    </xf>
    <xf numFmtId="49" fontId="12" fillId="0" borderId="26" xfId="0" applyNumberFormat="1" applyFont="1" applyFill="1" applyBorder="1" applyAlignment="1" applyProtection="1">
      <alignment horizontal="left" vertical="center"/>
      <protection hidden="1"/>
    </xf>
    <xf numFmtId="49" fontId="13" fillId="0" borderId="24" xfId="0" applyNumberFormat="1" applyFont="1" applyFill="1" applyBorder="1" applyAlignment="1" applyProtection="1">
      <alignment horizontal="right" vertical="center"/>
      <protection hidden="1"/>
    </xf>
    <xf numFmtId="0" fontId="1" fillId="0" borderId="27" xfId="0" applyNumberFormat="1" applyFont="1" applyFill="1" applyBorder="1" applyAlignment="1" applyProtection="1">
      <alignment vertical="center"/>
      <protection hidden="1"/>
    </xf>
    <xf numFmtId="0" fontId="1" fillId="0" borderId="28" xfId="0" applyNumberFormat="1" applyFont="1" applyFill="1" applyBorder="1" applyAlignment="1" applyProtection="1">
      <alignment vertical="center"/>
      <protection hidden="1"/>
    </xf>
    <xf numFmtId="0" fontId="1" fillId="0" borderId="22" xfId="0" applyNumberFormat="1" applyFont="1" applyFill="1" applyBorder="1" applyAlignment="1" applyProtection="1">
      <alignment vertical="center"/>
      <protection hidden="1"/>
    </xf>
    <xf numFmtId="4" fontId="12" fillId="35" borderId="29" xfId="0" applyNumberFormat="1" applyFont="1" applyFill="1" applyBorder="1" applyAlignment="1" applyProtection="1">
      <alignment horizontal="right" vertical="center"/>
      <protection hidden="1"/>
    </xf>
    <xf numFmtId="0" fontId="1" fillId="0" borderId="30" xfId="0" applyNumberFormat="1" applyFont="1" applyFill="1" applyBorder="1" applyAlignment="1" applyProtection="1">
      <alignment vertical="center"/>
      <protection hidden="1"/>
    </xf>
    <xf numFmtId="0" fontId="1" fillId="0" borderId="31" xfId="0" applyNumberFormat="1" applyFont="1" applyFill="1" applyBorder="1" applyAlignment="1" applyProtection="1">
      <alignment vertical="center"/>
      <protection hidden="1"/>
    </xf>
    <xf numFmtId="49" fontId="7" fillId="0" borderId="21" xfId="0" applyNumberFormat="1" applyFont="1" applyFill="1" applyBorder="1" applyAlignment="1" applyProtection="1">
      <alignment horizontal="left" vertical="center"/>
      <protection hidden="1"/>
    </xf>
    <xf numFmtId="0" fontId="1" fillId="0" borderId="21" xfId="0" applyNumberFormat="1" applyFont="1" applyFill="1" applyBorder="1" applyAlignment="1" applyProtection="1">
      <alignment vertical="center"/>
      <protection hidden="1"/>
    </xf>
    <xf numFmtId="0" fontId="1" fillId="0" borderId="32" xfId="0" applyNumberFormat="1" applyFont="1" applyFill="1" applyBorder="1" applyAlignment="1" applyProtection="1">
      <alignment vertical="center"/>
      <protection hidden="1"/>
    </xf>
    <xf numFmtId="49" fontId="3" fillId="0" borderId="33" xfId="0" applyNumberFormat="1" applyFont="1" applyFill="1" applyBorder="1" applyAlignment="1" applyProtection="1">
      <alignment horizontal="right" vertical="center"/>
      <protection hidden="1"/>
    </xf>
    <xf numFmtId="49" fontId="1" fillId="0" borderId="24" xfId="0" applyNumberFormat="1" applyFont="1" applyFill="1" applyBorder="1" applyAlignment="1" applyProtection="1">
      <alignment horizontal="left" vertical="center"/>
      <protection hidden="1"/>
    </xf>
    <xf numFmtId="4" fontId="1" fillId="0" borderId="24" xfId="0" applyNumberFormat="1" applyFont="1" applyFill="1" applyBorder="1" applyAlignment="1" applyProtection="1">
      <alignment horizontal="right" vertical="center"/>
      <protection hidden="1"/>
    </xf>
    <xf numFmtId="49" fontId="1" fillId="0" borderId="19" xfId="0" applyNumberFormat="1" applyFont="1" applyFill="1" applyBorder="1" applyAlignment="1" applyProtection="1">
      <alignment horizontal="left" vertical="center"/>
      <protection hidden="1"/>
    </xf>
    <xf numFmtId="4" fontId="1" fillId="0" borderId="19" xfId="0" applyNumberFormat="1" applyFont="1" applyFill="1" applyBorder="1" applyAlignment="1" applyProtection="1">
      <alignment horizontal="right" vertical="center"/>
      <protection hidden="1"/>
    </xf>
    <xf numFmtId="49" fontId="3" fillId="0" borderId="34" xfId="0" applyNumberFormat="1" applyFont="1" applyFill="1" applyBorder="1" applyAlignment="1" applyProtection="1">
      <alignment horizontal="left" vertical="center"/>
      <protection hidden="1"/>
    </xf>
    <xf numFmtId="49" fontId="3" fillId="0" borderId="34" xfId="0" applyNumberFormat="1" applyFont="1" applyFill="1" applyBorder="1" applyAlignment="1" applyProtection="1">
      <alignment horizontal="right" vertical="center"/>
      <protection hidden="1"/>
    </xf>
    <xf numFmtId="4" fontId="3" fillId="0" borderId="34" xfId="0" applyNumberFormat="1" applyFont="1" applyFill="1" applyBorder="1" applyAlignment="1" applyProtection="1">
      <alignment horizontal="right" vertical="center"/>
      <protection hidden="1"/>
    </xf>
    <xf numFmtId="0" fontId="1" fillId="0" borderId="35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49" fontId="0" fillId="0" borderId="0" xfId="49" applyNumberFormat="1" applyFont="1" applyAlignment="1" applyProtection="1">
      <alignment horizontal="center" vertical="center"/>
      <protection hidden="1"/>
    </xf>
    <xf numFmtId="0" fontId="0" fillId="0" borderId="0" xfId="49" applyFont="1" applyAlignment="1" applyProtection="1">
      <alignment vertical="center" wrapText="1"/>
      <protection hidden="1"/>
    </xf>
    <xf numFmtId="0" fontId="17" fillId="0" borderId="0" xfId="49" applyFont="1" applyAlignment="1" applyProtection="1">
      <alignment vertical="center" wrapText="1"/>
      <protection hidden="1"/>
    </xf>
    <xf numFmtId="0" fontId="0" fillId="0" borderId="0" xfId="49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8" fillId="0" borderId="0" xfId="49" applyFont="1" applyAlignment="1" applyProtection="1">
      <alignment vertical="center"/>
      <protection hidden="1"/>
    </xf>
    <xf numFmtId="0" fontId="19" fillId="0" borderId="0" xfId="49" applyFont="1" applyAlignment="1" applyProtection="1">
      <alignment vertical="center"/>
      <protection hidden="1"/>
    </xf>
    <xf numFmtId="0" fontId="20" fillId="0" borderId="0" xfId="49" applyFont="1" applyAlignment="1" applyProtection="1">
      <alignment vertical="center" wrapText="1"/>
      <protection hidden="1"/>
    </xf>
    <xf numFmtId="0" fontId="20" fillId="0" borderId="0" xfId="49" applyFont="1" applyAlignment="1" applyProtection="1">
      <alignment vertical="center"/>
      <protection hidden="1"/>
    </xf>
    <xf numFmtId="49" fontId="0" fillId="0" borderId="0" xfId="49" applyNumberFormat="1" applyFont="1" applyAlignment="1" applyProtection="1">
      <alignment vertical="center"/>
      <protection hidden="1"/>
    </xf>
    <xf numFmtId="0" fontId="21" fillId="0" borderId="0" xfId="49" applyFont="1" applyAlignment="1" applyProtection="1">
      <alignment vertical="center"/>
      <protection hidden="1"/>
    </xf>
    <xf numFmtId="0" fontId="17" fillId="0" borderId="0" xfId="49" applyFont="1" applyAlignment="1" applyProtection="1">
      <alignment vertical="center"/>
      <protection hidden="1"/>
    </xf>
    <xf numFmtId="0" fontId="0" fillId="0" borderId="0" xfId="49" applyNumberFormat="1" applyFont="1" applyAlignment="1" applyProtection="1">
      <alignment vertical="center"/>
      <protection hidden="1"/>
    </xf>
    <xf numFmtId="0" fontId="20" fillId="0" borderId="0" xfId="49" applyNumberFormat="1" applyFont="1" applyAlignment="1" applyProtection="1">
      <alignment vertical="center"/>
      <protection hidden="1"/>
    </xf>
    <xf numFmtId="0" fontId="0" fillId="0" borderId="0" xfId="49" applyNumberFormat="1" applyFont="1" applyAlignment="1" applyProtection="1">
      <alignment vertical="center" wrapText="1"/>
      <protection hidden="1"/>
    </xf>
    <xf numFmtId="4" fontId="1" fillId="33" borderId="24" xfId="0" applyNumberFormat="1" applyFont="1" applyFill="1" applyBorder="1" applyAlignment="1" applyProtection="1">
      <alignment horizontal="right" vertical="center"/>
      <protection locked="0"/>
    </xf>
    <xf numFmtId="4" fontId="1" fillId="33" borderId="19" xfId="0" applyNumberFormat="1" applyFont="1" applyFill="1" applyBorder="1" applyAlignment="1" applyProtection="1">
      <alignment horizontal="right" vertical="center"/>
      <protection locked="0"/>
    </xf>
    <xf numFmtId="0" fontId="21" fillId="0" borderId="0" xfId="49" applyFont="1" applyAlignment="1" applyProtection="1">
      <alignment vertical="center" wrapText="1"/>
      <protection hidden="1"/>
    </xf>
    <xf numFmtId="49" fontId="2" fillId="0" borderId="22" xfId="0" applyNumberFormat="1" applyFont="1" applyFill="1" applyBorder="1" applyAlignment="1" applyProtection="1">
      <alignment horizont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1" fillId="0" borderId="23" xfId="0" applyNumberFormat="1" applyFont="1" applyFill="1" applyBorder="1" applyAlignment="1" applyProtection="1">
      <alignment horizontal="left" vertical="center"/>
      <protection hidden="1"/>
    </xf>
    <xf numFmtId="0" fontId="1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49" fontId="1" fillId="0" borderId="23" xfId="0" applyNumberFormat="1" applyFont="1" applyFill="1" applyBorder="1" applyAlignment="1" applyProtection="1">
      <alignment horizontal="left" vertical="center"/>
      <protection hidden="1"/>
    </xf>
    <xf numFmtId="0" fontId="1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49" fontId="3" fillId="0" borderId="37" xfId="0" applyNumberFormat="1" applyFont="1" applyFill="1" applyBorder="1" applyAlignment="1" applyProtection="1">
      <alignment horizontal="center" vertical="center"/>
      <protection hidden="1"/>
    </xf>
    <xf numFmtId="0" fontId="3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39" xfId="0" applyNumberFormat="1" applyFont="1" applyFill="1" applyBorder="1" applyAlignment="1" applyProtection="1">
      <alignment horizontal="center" vertical="center"/>
      <protection hidden="1"/>
    </xf>
    <xf numFmtId="49" fontId="3" fillId="0" borderId="23" xfId="0" applyNumberFormat="1" applyFont="1" applyFill="1" applyBorder="1" applyAlignment="1" applyProtection="1">
      <alignment horizontal="left" vertical="center"/>
      <protection hidden="1"/>
    </xf>
    <xf numFmtId="0" fontId="3" fillId="0" borderId="23" xfId="0" applyNumberFormat="1" applyFont="1" applyFill="1" applyBorder="1" applyAlignment="1" applyProtection="1">
      <alignment horizontal="left" vertical="center"/>
      <protection hidden="1"/>
    </xf>
    <xf numFmtId="0" fontId="1" fillId="0" borderId="40" xfId="0" applyNumberFormat="1" applyFont="1" applyFill="1" applyBorder="1" applyAlignment="1" applyProtection="1">
      <alignment horizontal="left" vertical="center"/>
      <protection hidden="1"/>
    </xf>
    <xf numFmtId="0" fontId="1" fillId="0" borderId="32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3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49" fontId="1" fillId="0" borderId="27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49" fontId="1" fillId="0" borderId="28" xfId="0" applyNumberFormat="1" applyFont="1" applyFill="1" applyBorder="1" applyAlignment="1" applyProtection="1">
      <alignment horizontal="left" vertical="center"/>
      <protection hidden="1"/>
    </xf>
    <xf numFmtId="0" fontId="1" fillId="0" borderId="28" xfId="0" applyNumberFormat="1" applyFont="1" applyFill="1" applyBorder="1" applyAlignment="1" applyProtection="1">
      <alignment horizontal="left" vertical="center"/>
      <protection hidden="1"/>
    </xf>
    <xf numFmtId="0" fontId="1" fillId="0" borderId="30" xfId="0" applyNumberFormat="1" applyFont="1" applyFill="1" applyBorder="1" applyAlignment="1" applyProtection="1">
      <alignment horizontal="left" vertical="center"/>
      <protection hidden="1"/>
    </xf>
    <xf numFmtId="0" fontId="1" fillId="0" borderId="22" xfId="0" applyNumberFormat="1" applyFont="1" applyFill="1" applyBorder="1" applyAlignment="1" applyProtection="1">
      <alignment horizontal="left" vertical="center"/>
      <protection hidden="1"/>
    </xf>
    <xf numFmtId="0" fontId="1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1" xfId="0" applyNumberFormat="1" applyFont="1" applyFill="1" applyBorder="1" applyAlignment="1" applyProtection="1">
      <alignment horizontal="left" vertical="center"/>
      <protection hidden="1"/>
    </xf>
    <xf numFmtId="49" fontId="10" fillId="0" borderId="42" xfId="0" applyNumberFormat="1" applyFont="1" applyFill="1" applyBorder="1" applyAlignment="1" applyProtection="1">
      <alignment horizontal="center" vertical="center"/>
      <protection hidden="1"/>
    </xf>
    <xf numFmtId="0" fontId="10" fillId="0" borderId="42" xfId="0" applyNumberFormat="1" applyFont="1" applyFill="1" applyBorder="1" applyAlignment="1" applyProtection="1">
      <alignment horizontal="center" vertical="center"/>
      <protection hidden="1"/>
    </xf>
    <xf numFmtId="49" fontId="14" fillId="0" borderId="43" xfId="0" applyNumberFormat="1" applyFont="1" applyFill="1" applyBorder="1" applyAlignment="1" applyProtection="1">
      <alignment horizontal="left" vertical="center"/>
      <protection hidden="1"/>
    </xf>
    <xf numFmtId="0" fontId="14" fillId="0" borderId="29" xfId="0" applyNumberFormat="1" applyFont="1" applyFill="1" applyBorder="1" applyAlignment="1" applyProtection="1">
      <alignment horizontal="left" vertical="center"/>
      <protection hidden="1"/>
    </xf>
    <xf numFmtId="49" fontId="13" fillId="0" borderId="43" xfId="0" applyNumberFormat="1" applyFont="1" applyFill="1" applyBorder="1" applyAlignment="1" applyProtection="1">
      <alignment horizontal="left" vertical="center"/>
      <protection hidden="1"/>
    </xf>
    <xf numFmtId="0" fontId="13" fillId="0" borderId="29" xfId="0" applyNumberFormat="1" applyFont="1" applyFill="1" applyBorder="1" applyAlignment="1" applyProtection="1">
      <alignment horizontal="left" vertical="center"/>
      <protection hidden="1"/>
    </xf>
    <xf numFmtId="49" fontId="13" fillId="0" borderId="43" xfId="0" applyNumberFormat="1" applyFont="1" applyFill="1" applyBorder="1" applyAlignment="1" applyProtection="1">
      <alignment horizontal="left" vertical="center"/>
      <protection hidden="1"/>
    </xf>
    <xf numFmtId="49" fontId="12" fillId="0" borderId="43" xfId="0" applyNumberFormat="1" applyFont="1" applyFill="1" applyBorder="1" applyAlignment="1" applyProtection="1">
      <alignment horizontal="left" vertical="center"/>
      <protection hidden="1"/>
    </xf>
    <xf numFmtId="0" fontId="12" fillId="0" borderId="29" xfId="0" applyNumberFormat="1" applyFont="1" applyFill="1" applyBorder="1" applyAlignment="1" applyProtection="1">
      <alignment horizontal="left" vertical="center"/>
      <protection hidden="1"/>
    </xf>
    <xf numFmtId="49" fontId="12" fillId="35" borderId="43" xfId="0" applyNumberFormat="1" applyFont="1" applyFill="1" applyBorder="1" applyAlignment="1" applyProtection="1">
      <alignment horizontal="left" vertical="center"/>
      <protection hidden="1"/>
    </xf>
    <xf numFmtId="0" fontId="12" fillId="35" borderId="42" xfId="0" applyNumberFormat="1" applyFont="1" applyFill="1" applyBorder="1" applyAlignment="1" applyProtection="1">
      <alignment horizontal="left" vertical="center"/>
      <protection hidden="1"/>
    </xf>
    <xf numFmtId="49" fontId="13" fillId="0" borderId="14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44" xfId="0" applyNumberFormat="1" applyFont="1" applyFill="1" applyBorder="1" applyAlignment="1" applyProtection="1">
      <alignment horizontal="left" vertical="center"/>
      <protection hidden="1"/>
    </xf>
    <xf numFmtId="49" fontId="13" fillId="0" borderId="45" xfId="0" applyNumberFormat="1" applyFont="1" applyFill="1" applyBorder="1" applyAlignment="1" applyProtection="1">
      <alignment horizontal="left" vertical="center"/>
      <protection hidden="1"/>
    </xf>
    <xf numFmtId="0" fontId="13" fillId="0" borderId="21" xfId="0" applyNumberFormat="1" applyFont="1" applyFill="1" applyBorder="1" applyAlignment="1" applyProtection="1">
      <alignment horizontal="left" vertical="center"/>
      <protection hidden="1"/>
    </xf>
    <xf numFmtId="0" fontId="13" fillId="0" borderId="46" xfId="0" applyNumberFormat="1" applyFont="1" applyFill="1" applyBorder="1" applyAlignment="1" applyProtection="1">
      <alignment horizontal="left" vertic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47" xfId="0" applyNumberFormat="1" applyFont="1" applyFill="1" applyBorder="1" applyAlignment="1" applyProtection="1">
      <alignment horizontal="left" vertical="center"/>
      <protection hidden="1"/>
    </xf>
    <xf numFmtId="0" fontId="13" fillId="0" borderId="32" xfId="0" applyNumberFormat="1" applyFont="1" applyFill="1" applyBorder="1" applyAlignment="1" applyProtection="1">
      <alignment horizontal="left" vertical="center"/>
      <protection hidden="1"/>
    </xf>
    <xf numFmtId="0" fontId="13" fillId="0" borderId="48" xfId="0" applyNumberFormat="1" applyFont="1" applyFill="1" applyBorder="1" applyAlignment="1" applyProtection="1">
      <alignment horizontal="left" vertical="center"/>
      <protection hidden="1"/>
    </xf>
    <xf numFmtId="49" fontId="1" fillId="0" borderId="27" xfId="0" applyNumberFormat="1" applyFont="1" applyBorder="1" applyAlignment="1" applyProtection="1">
      <alignment horizontal="left" vertical="center"/>
      <protection hidden="1"/>
    </xf>
    <xf numFmtId="0" fontId="1" fillId="0" borderId="28" xfId="0" applyFont="1" applyBorder="1" applyAlignment="1" applyProtection="1">
      <alignment horizontal="left" vertical="center"/>
      <protection hidden="1"/>
    </xf>
    <xf numFmtId="49" fontId="3" fillId="0" borderId="49" xfId="0" applyNumberFormat="1" applyFont="1" applyFill="1" applyBorder="1" applyAlignment="1" applyProtection="1">
      <alignment horizontal="left" vertical="center"/>
      <protection hidden="1"/>
    </xf>
    <xf numFmtId="0" fontId="3" fillId="0" borderId="35" xfId="0" applyNumberFormat="1" applyFont="1" applyFill="1" applyBorder="1" applyAlignment="1" applyProtection="1">
      <alignment horizontal="left" vertical="center"/>
      <protection hidden="1"/>
    </xf>
    <xf numFmtId="0" fontId="3" fillId="0" borderId="50" xfId="0" applyNumberFormat="1" applyFont="1" applyFill="1" applyBorder="1" applyAlignment="1" applyProtection="1">
      <alignment horizontal="left" vertical="center"/>
      <protection hidden="1"/>
    </xf>
    <xf numFmtId="49" fontId="1" fillId="0" borderId="43" xfId="0" applyNumberFormat="1" applyFont="1" applyFill="1" applyBorder="1" applyAlignment="1" applyProtection="1">
      <alignment horizontal="left" vertical="center"/>
      <protection hidden="1"/>
    </xf>
    <xf numFmtId="0" fontId="1" fillId="0" borderId="42" xfId="0" applyNumberFormat="1" applyFont="1" applyFill="1" applyBorder="1" applyAlignment="1" applyProtection="1">
      <alignment horizontal="left" vertical="center"/>
      <protection hidden="1"/>
    </xf>
    <xf numFmtId="0" fontId="1" fillId="0" borderId="29" xfId="0" applyNumberFormat="1" applyFont="1" applyFill="1" applyBorder="1" applyAlignment="1" applyProtection="1">
      <alignment horizontal="left" vertical="center"/>
      <protection hidden="1"/>
    </xf>
    <xf numFmtId="49" fontId="12" fillId="0" borderId="32" xfId="0" applyNumberFormat="1" applyFont="1" applyFill="1" applyBorder="1" applyAlignment="1" applyProtection="1">
      <alignment horizontal="left" vertical="center"/>
      <protection hidden="1"/>
    </xf>
    <xf numFmtId="0" fontId="12" fillId="0" borderId="32" xfId="0" applyNumberFormat="1" applyFont="1" applyFill="1" applyBorder="1" applyAlignment="1" applyProtection="1">
      <alignment horizontal="left" vertical="center"/>
      <protection hidden="1"/>
    </xf>
    <xf numFmtId="49" fontId="3" fillId="0" borderId="37" xfId="0" applyNumberFormat="1" applyFont="1" applyFill="1" applyBorder="1" applyAlignment="1" applyProtection="1">
      <alignment horizontal="left" vertical="center"/>
      <protection hidden="1"/>
    </xf>
    <xf numFmtId="0" fontId="3" fillId="0" borderId="38" xfId="0" applyNumberFormat="1" applyFont="1" applyFill="1" applyBorder="1" applyAlignment="1" applyProtection="1">
      <alignment horizontal="left" vertical="center"/>
      <protection hidden="1"/>
    </xf>
    <xf numFmtId="0" fontId="3" fillId="0" borderId="39" xfId="0" applyNumberFormat="1" applyFont="1" applyFill="1" applyBorder="1" applyAlignment="1" applyProtection="1">
      <alignment horizontal="left" vertical="center"/>
      <protection hidden="1"/>
    </xf>
    <xf numFmtId="49" fontId="1" fillId="0" borderId="43" xfId="0" applyNumberFormat="1" applyFont="1" applyFill="1" applyBorder="1" applyAlignment="1" applyProtection="1">
      <alignment horizontal="left" vertical="center"/>
      <protection hidden="1"/>
    </xf>
    <xf numFmtId="49" fontId="1" fillId="0" borderId="51" xfId="0" applyNumberFormat="1" applyFont="1" applyFill="1" applyBorder="1" applyAlignment="1" applyProtection="1">
      <alignment horizontal="left" vertical="center"/>
      <protection hidden="1"/>
    </xf>
    <xf numFmtId="0" fontId="1" fillId="0" borderId="31" xfId="0" applyNumberFormat="1" applyFont="1" applyFill="1" applyBorder="1" applyAlignment="1" applyProtection="1">
      <alignment horizontal="left" vertical="center"/>
      <protection hidden="1"/>
    </xf>
    <xf numFmtId="0" fontId="1" fillId="0" borderId="52" xfId="0" applyNumberFormat="1" applyFont="1" applyFill="1" applyBorder="1" applyAlignment="1" applyProtection="1">
      <alignment horizontal="left" vertical="center"/>
      <protection hidden="1"/>
    </xf>
    <xf numFmtId="49" fontId="12" fillId="0" borderId="49" xfId="0" applyNumberFormat="1" applyFont="1" applyFill="1" applyBorder="1" applyAlignment="1" applyProtection="1">
      <alignment horizontal="left" vertical="center"/>
      <protection hidden="1"/>
    </xf>
    <xf numFmtId="0" fontId="12" fillId="0" borderId="35" xfId="0" applyNumberFormat="1" applyFont="1" applyFill="1" applyBorder="1" applyAlignment="1" applyProtection="1">
      <alignment horizontal="left" vertical="center"/>
      <protection hidden="1"/>
    </xf>
    <xf numFmtId="0" fontId="12" fillId="0" borderId="50" xfId="0" applyNumberFormat="1" applyFont="1" applyFill="1" applyBorder="1" applyAlignment="1" applyProtection="1">
      <alignment horizontal="left" vertical="center"/>
      <protection hidden="1"/>
    </xf>
    <xf numFmtId="4" fontId="12" fillId="0" borderId="49" xfId="0" applyNumberFormat="1" applyFont="1" applyFill="1" applyBorder="1" applyAlignment="1" applyProtection="1">
      <alignment horizontal="right" vertical="center"/>
      <protection hidden="1"/>
    </xf>
    <xf numFmtId="0" fontId="12" fillId="0" borderId="35" xfId="0" applyNumberFormat="1" applyFont="1" applyFill="1" applyBorder="1" applyAlignment="1" applyProtection="1">
      <alignment horizontal="right" vertical="center"/>
      <protection hidden="1"/>
    </xf>
    <xf numFmtId="0" fontId="12" fillId="0" borderId="50" xfId="0" applyNumberFormat="1" applyFont="1" applyFill="1" applyBorder="1" applyAlignment="1" applyProtection="1">
      <alignment horizontal="right" vertical="center"/>
      <protection hidden="1"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4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2.57421875" style="49" customWidth="1"/>
    <col min="2" max="2" width="118.28125" style="49" customWidth="1"/>
    <col min="3" max="16384" width="8.8515625" style="49" customWidth="1"/>
  </cols>
  <sheetData>
    <row r="3" ht="45" customHeight="1">
      <c r="B3" s="74" t="s">
        <v>852</v>
      </c>
    </row>
    <row r="5" ht="18" customHeight="1">
      <c r="B5" s="49" t="s">
        <v>874</v>
      </c>
    </row>
    <row r="6" ht="17.25" customHeight="1">
      <c r="B6" s="49" t="s">
        <v>853</v>
      </c>
    </row>
    <row r="7" ht="17.25" customHeight="1">
      <c r="B7" s="75" t="s">
        <v>875</v>
      </c>
    </row>
    <row r="8" ht="12">
      <c r="B8" s="49" t="s">
        <v>6</v>
      </c>
    </row>
    <row r="14" ht="12">
      <c r="B14" s="49" t="s">
        <v>6</v>
      </c>
    </row>
  </sheetData>
  <sheetProtection password="83A5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="120" zoomScaleSheetLayoutView="120" zoomScalePageLayoutView="0" workbookViewId="0" topLeftCell="A39">
      <selection activeCell="B22" sqref="B22:E22"/>
    </sheetView>
  </sheetViews>
  <sheetFormatPr defaultColWidth="8.8515625" defaultRowHeight="12.75"/>
  <cols>
    <col min="1" max="2" width="8.8515625" style="49" customWidth="1"/>
    <col min="3" max="3" width="93.28125" style="49" customWidth="1"/>
    <col min="4" max="4" width="8.8515625" style="49" customWidth="1"/>
    <col min="5" max="5" width="9.140625" style="49" customWidth="1"/>
    <col min="6" max="16384" width="8.8515625" style="49" customWidth="1"/>
  </cols>
  <sheetData>
    <row r="1" spans="1:5" ht="12">
      <c r="A1" s="76"/>
      <c r="B1" s="77"/>
      <c r="C1" s="78"/>
      <c r="D1" s="79"/>
      <c r="E1" s="80"/>
    </row>
    <row r="2" spans="1:5" ht="19.5">
      <c r="A2" s="76"/>
      <c r="B2" s="81" t="s">
        <v>876</v>
      </c>
      <c r="C2" s="78"/>
      <c r="D2" s="79"/>
      <c r="E2" s="79"/>
    </row>
    <row r="3" spans="1:5" ht="6.75" customHeight="1">
      <c r="A3" s="76"/>
      <c r="B3" s="81"/>
      <c r="C3" s="78"/>
      <c r="D3" s="79"/>
      <c r="E3" s="79"/>
    </row>
    <row r="4" spans="1:5" ht="12">
      <c r="A4" s="76"/>
      <c r="B4" s="77"/>
      <c r="C4" s="78"/>
      <c r="D4" s="79"/>
      <c r="E4" s="79"/>
    </row>
    <row r="5" spans="1:5" ht="18">
      <c r="A5" s="76"/>
      <c r="B5" s="82" t="s">
        <v>854</v>
      </c>
      <c r="C5" s="78"/>
      <c r="D5" s="79"/>
      <c r="E5" s="79"/>
    </row>
    <row r="6" spans="1:5" ht="12.75">
      <c r="A6" s="76"/>
      <c r="B6" s="83"/>
      <c r="C6" s="78"/>
      <c r="D6" s="79"/>
      <c r="E6" s="79"/>
    </row>
    <row r="7" spans="1:5" ht="12.75">
      <c r="A7" s="76"/>
      <c r="B7" s="84" t="s">
        <v>877</v>
      </c>
      <c r="C7" s="78"/>
      <c r="D7" s="79"/>
      <c r="E7" s="79"/>
    </row>
    <row r="8" spans="1:5" ht="12.75">
      <c r="A8" s="76"/>
      <c r="B8" s="83"/>
      <c r="C8" s="78"/>
      <c r="D8" s="79"/>
      <c r="E8" s="79"/>
    </row>
    <row r="9" spans="1:5" ht="30" customHeight="1">
      <c r="A9" s="76" t="s">
        <v>7</v>
      </c>
      <c r="B9" s="93" t="s">
        <v>878</v>
      </c>
      <c r="C9" s="93"/>
      <c r="D9" s="93"/>
      <c r="E9" s="93"/>
    </row>
    <row r="10" spans="1:5" ht="12.75">
      <c r="A10" s="76"/>
      <c r="B10" s="83"/>
      <c r="C10" s="78"/>
      <c r="D10" s="79"/>
      <c r="E10" s="79"/>
    </row>
    <row r="11" spans="1:5" ht="34.5" customHeight="1">
      <c r="A11" s="76" t="s">
        <v>8</v>
      </c>
      <c r="B11" s="93" t="s">
        <v>879</v>
      </c>
      <c r="C11" s="93"/>
      <c r="D11" s="93"/>
      <c r="E11" s="93"/>
    </row>
    <row r="12" spans="1:5" ht="12.75">
      <c r="A12" s="76"/>
      <c r="B12" s="83"/>
      <c r="C12" s="78"/>
      <c r="D12" s="79"/>
      <c r="E12" s="79"/>
    </row>
    <row r="13" spans="1:5" ht="12.75">
      <c r="A13" s="76"/>
      <c r="B13" s="83"/>
      <c r="C13" s="78"/>
      <c r="D13" s="79"/>
      <c r="E13" s="79"/>
    </row>
    <row r="14" spans="1:5" ht="12.75">
      <c r="A14" s="76"/>
      <c r="B14" s="84" t="s">
        <v>855</v>
      </c>
      <c r="C14" s="78"/>
      <c r="D14" s="79"/>
      <c r="E14" s="79"/>
    </row>
    <row r="15" spans="1:5" ht="12">
      <c r="A15" s="85"/>
      <c r="B15" s="79"/>
      <c r="C15" s="78"/>
      <c r="D15" s="79"/>
      <c r="E15" s="79"/>
    </row>
    <row r="16" spans="1:5" ht="12">
      <c r="A16" s="76" t="s">
        <v>9</v>
      </c>
      <c r="B16" s="86" t="s">
        <v>856</v>
      </c>
      <c r="C16" s="78"/>
      <c r="D16" s="79"/>
      <c r="E16" s="79"/>
    </row>
    <row r="17" spans="1:5" ht="12">
      <c r="A17" s="76"/>
      <c r="B17" s="86" t="s">
        <v>880</v>
      </c>
      <c r="C17" s="78"/>
      <c r="D17" s="79"/>
      <c r="E17" s="79"/>
    </row>
    <row r="18" spans="1:5" ht="24.75" customHeight="1">
      <c r="A18" s="76"/>
      <c r="B18" s="93" t="s">
        <v>881</v>
      </c>
      <c r="C18" s="93"/>
      <c r="D18" s="93"/>
      <c r="E18" s="93"/>
    </row>
    <row r="19" spans="1:5" ht="12">
      <c r="A19" s="76"/>
      <c r="B19" s="77"/>
      <c r="C19" s="78"/>
      <c r="D19" s="79"/>
      <c r="E19" s="79"/>
    </row>
    <row r="20" spans="1:5" ht="12">
      <c r="A20" s="76" t="s">
        <v>10</v>
      </c>
      <c r="B20" s="86" t="s">
        <v>857</v>
      </c>
      <c r="C20" s="78"/>
      <c r="D20" s="79"/>
      <c r="E20" s="79"/>
    </row>
    <row r="21" spans="1:5" ht="26.25" customHeight="1">
      <c r="A21" s="76"/>
      <c r="B21" s="93" t="s">
        <v>882</v>
      </c>
      <c r="C21" s="93"/>
      <c r="D21" s="93"/>
      <c r="E21" s="93"/>
    </row>
    <row r="22" spans="1:5" ht="37.5" customHeight="1">
      <c r="A22" s="76"/>
      <c r="B22" s="93" t="s">
        <v>858</v>
      </c>
      <c r="C22" s="93"/>
      <c r="D22" s="93"/>
      <c r="E22" s="93"/>
    </row>
    <row r="23" spans="1:5" ht="12">
      <c r="A23" s="76"/>
      <c r="B23" s="77"/>
      <c r="C23" s="78"/>
      <c r="D23" s="79"/>
      <c r="E23" s="79"/>
    </row>
    <row r="24" spans="1:5" ht="12">
      <c r="A24" s="76"/>
      <c r="B24" s="77"/>
      <c r="C24" s="78"/>
      <c r="D24" s="79"/>
      <c r="E24" s="79"/>
    </row>
    <row r="25" spans="1:5" ht="12.75">
      <c r="A25" s="76"/>
      <c r="B25" s="84" t="s">
        <v>859</v>
      </c>
      <c r="C25" s="78"/>
      <c r="D25" s="79"/>
      <c r="E25" s="79"/>
    </row>
    <row r="26" spans="1:5" ht="12.75">
      <c r="A26" s="76"/>
      <c r="B26" s="83"/>
      <c r="C26" s="78"/>
      <c r="D26" s="79"/>
      <c r="E26" s="79"/>
    </row>
    <row r="27" spans="1:5" ht="39.75" customHeight="1">
      <c r="A27" s="76" t="s">
        <v>11</v>
      </c>
      <c r="B27" s="93" t="s">
        <v>860</v>
      </c>
      <c r="C27" s="93"/>
      <c r="D27" s="93"/>
      <c r="E27" s="93"/>
    </row>
    <row r="28" spans="1:5" ht="12">
      <c r="A28" s="76"/>
      <c r="B28" s="77"/>
      <c r="C28" s="78"/>
      <c r="D28" s="79"/>
      <c r="E28" s="79"/>
    </row>
    <row r="29" spans="1:5" ht="43.5" customHeight="1">
      <c r="A29" s="76" t="s">
        <v>12</v>
      </c>
      <c r="B29" s="93" t="s">
        <v>883</v>
      </c>
      <c r="C29" s="93"/>
      <c r="D29" s="93"/>
      <c r="E29" s="93"/>
    </row>
    <row r="30" spans="1:5" ht="12">
      <c r="A30" s="76"/>
      <c r="B30" s="77"/>
      <c r="C30" s="78"/>
      <c r="D30" s="79"/>
      <c r="E30" s="79"/>
    </row>
    <row r="31" spans="1:5" ht="38.25" customHeight="1">
      <c r="A31" s="76" t="s">
        <v>13</v>
      </c>
      <c r="B31" s="93" t="s">
        <v>884</v>
      </c>
      <c r="C31" s="93"/>
      <c r="D31" s="93"/>
      <c r="E31" s="93"/>
    </row>
    <row r="32" spans="1:5" ht="12">
      <c r="A32" s="76"/>
      <c r="B32" s="77"/>
      <c r="C32" s="78"/>
      <c r="D32" s="79"/>
      <c r="E32" s="79"/>
    </row>
    <row r="33" spans="1:5" ht="25.5" customHeight="1">
      <c r="A33" s="76" t="s">
        <v>14</v>
      </c>
      <c r="B33" s="93" t="s">
        <v>861</v>
      </c>
      <c r="C33" s="93"/>
      <c r="D33" s="93"/>
      <c r="E33" s="93"/>
    </row>
    <row r="34" spans="1:5" ht="12">
      <c r="A34" s="76"/>
      <c r="B34" s="77"/>
      <c r="C34" s="78"/>
      <c r="D34" s="79"/>
      <c r="E34" s="79"/>
    </row>
    <row r="35" spans="1:5" ht="12.75" customHeight="1">
      <c r="A35" s="76" t="s">
        <v>15</v>
      </c>
      <c r="B35" s="93" t="s">
        <v>885</v>
      </c>
      <c r="C35" s="93"/>
      <c r="D35" s="93"/>
      <c r="E35" s="93"/>
    </row>
    <row r="36" spans="1:5" ht="12">
      <c r="A36" s="76"/>
      <c r="B36" s="77"/>
      <c r="C36" s="78"/>
      <c r="D36" s="79"/>
      <c r="E36" s="79"/>
    </row>
    <row r="37" spans="1:5" ht="12">
      <c r="A37" s="76" t="s">
        <v>16</v>
      </c>
      <c r="B37" s="86" t="s">
        <v>886</v>
      </c>
      <c r="C37" s="87"/>
      <c r="D37" s="79"/>
      <c r="E37" s="79"/>
    </row>
    <row r="38" spans="1:5" ht="12">
      <c r="A38" s="76"/>
      <c r="B38" s="77"/>
      <c r="C38" s="78"/>
      <c r="D38" s="79"/>
      <c r="E38" s="79"/>
    </row>
    <row r="39" spans="1:5" ht="12">
      <c r="A39" s="76" t="s">
        <v>17</v>
      </c>
      <c r="B39" s="86" t="s">
        <v>887</v>
      </c>
      <c r="C39" s="78"/>
      <c r="D39" s="79"/>
      <c r="E39" s="79"/>
    </row>
    <row r="40" spans="1:5" ht="12">
      <c r="A40" s="76"/>
      <c r="B40" s="77"/>
      <c r="C40" s="78"/>
      <c r="D40" s="79"/>
      <c r="E40" s="79"/>
    </row>
    <row r="41" spans="1:5" ht="12">
      <c r="A41" s="76"/>
      <c r="B41" s="88"/>
      <c r="C41" s="78"/>
      <c r="D41" s="79"/>
      <c r="E41" s="79"/>
    </row>
    <row r="42" spans="1:5" ht="12.75">
      <c r="A42" s="76"/>
      <c r="B42" s="89" t="s">
        <v>862</v>
      </c>
      <c r="C42" s="78"/>
      <c r="D42" s="79"/>
      <c r="E42" s="79"/>
    </row>
    <row r="43" spans="1:5" ht="12">
      <c r="A43" s="76"/>
      <c r="B43" s="88"/>
      <c r="C43" s="78"/>
      <c r="D43" s="79"/>
      <c r="E43" s="79"/>
    </row>
    <row r="44" spans="1:5" ht="25.5" customHeight="1">
      <c r="A44" s="76" t="s">
        <v>18</v>
      </c>
      <c r="B44" s="93" t="s">
        <v>863</v>
      </c>
      <c r="C44" s="93"/>
      <c r="D44" s="93"/>
      <c r="E44" s="93"/>
    </row>
    <row r="45" spans="1:5" ht="12">
      <c r="A45" s="76"/>
      <c r="B45" s="90"/>
      <c r="C45" s="78"/>
      <c r="D45" s="79"/>
      <c r="E45" s="79"/>
    </row>
    <row r="46" spans="1:5" ht="25.5" customHeight="1">
      <c r="A46" s="76" t="s">
        <v>19</v>
      </c>
      <c r="B46" s="93" t="s">
        <v>864</v>
      </c>
      <c r="C46" s="93"/>
      <c r="D46" s="93"/>
      <c r="E46" s="93"/>
    </row>
    <row r="47" spans="1:5" ht="12">
      <c r="A47" s="76"/>
      <c r="B47" s="90"/>
      <c r="C47" s="78"/>
      <c r="D47" s="79"/>
      <c r="E47" s="79"/>
    </row>
    <row r="48" spans="1:5" ht="27" customHeight="1">
      <c r="A48" s="76" t="s">
        <v>20</v>
      </c>
      <c r="B48" s="93" t="s">
        <v>888</v>
      </c>
      <c r="C48" s="93"/>
      <c r="D48" s="93"/>
      <c r="E48" s="93"/>
    </row>
  </sheetData>
  <sheetProtection password="83A5" sheet="1" objects="1" scenarios="1"/>
  <mergeCells count="13">
    <mergeCell ref="B48:E48"/>
    <mergeCell ref="B27:E27"/>
    <mergeCell ref="B29:E29"/>
    <mergeCell ref="B31:E31"/>
    <mergeCell ref="B33:E33"/>
    <mergeCell ref="B35:E35"/>
    <mergeCell ref="B44:E44"/>
    <mergeCell ref="B9:E9"/>
    <mergeCell ref="B11:E11"/>
    <mergeCell ref="B18:E18"/>
    <mergeCell ref="B21:E21"/>
    <mergeCell ref="B22:E22"/>
    <mergeCell ref="B46:E46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281"/>
  <sheetViews>
    <sheetView zoomScalePageLayoutView="0" workbookViewId="0" topLeftCell="D261">
      <selection activeCell="M172" sqref="M172"/>
    </sheetView>
  </sheetViews>
  <sheetFormatPr defaultColWidth="11.57421875" defaultRowHeight="12.75"/>
  <cols>
    <col min="1" max="1" width="8.8515625" style="38" customWidth="1"/>
    <col min="2" max="2" width="7.57421875" style="3" hidden="1" customWidth="1"/>
    <col min="3" max="3" width="14.28125" style="3" customWidth="1"/>
    <col min="4" max="4" width="67.28125" style="3" customWidth="1"/>
    <col min="5" max="5" width="4.421875" style="3" customWidth="1"/>
    <col min="6" max="6" width="12.7109375" style="3" customWidth="1"/>
    <col min="7" max="7" width="12.00390625" style="3" customWidth="1"/>
    <col min="8" max="10" width="14.28125" style="3" customWidth="1"/>
    <col min="11" max="12" width="11.7109375" style="3" customWidth="1"/>
    <col min="13" max="23" width="11.57421875" style="3" customWidth="1"/>
    <col min="24" max="61" width="9.7109375" style="3" hidden="1" customWidth="1"/>
    <col min="62" max="16384" width="11.57421875" style="3" customWidth="1"/>
  </cols>
  <sheetData>
    <row r="1" spans="1:12" ht="49.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3" ht="12.75" customHeight="1">
      <c r="A2" s="96" t="s">
        <v>1</v>
      </c>
      <c r="B2" s="97"/>
      <c r="C2" s="100" t="s">
        <v>869</v>
      </c>
      <c r="D2" s="101"/>
      <c r="E2" s="103" t="s">
        <v>745</v>
      </c>
      <c r="F2" s="97"/>
      <c r="G2" s="103" t="s">
        <v>6</v>
      </c>
      <c r="H2" s="104" t="s">
        <v>761</v>
      </c>
      <c r="I2" s="105" t="s">
        <v>870</v>
      </c>
      <c r="J2" s="106"/>
      <c r="K2" s="106"/>
      <c r="L2" s="106"/>
      <c r="M2" s="4"/>
    </row>
    <row r="3" spans="1:13" ht="12">
      <c r="A3" s="98"/>
      <c r="B3" s="99"/>
      <c r="C3" s="102"/>
      <c r="D3" s="102"/>
      <c r="E3" s="99"/>
      <c r="F3" s="99"/>
      <c r="G3" s="99"/>
      <c r="H3" s="99"/>
      <c r="I3" s="107"/>
      <c r="J3" s="107"/>
      <c r="K3" s="107"/>
      <c r="L3" s="107"/>
      <c r="M3" s="4"/>
    </row>
    <row r="4" spans="1:13" ht="12">
      <c r="A4" s="108" t="s">
        <v>2</v>
      </c>
      <c r="B4" s="99"/>
      <c r="C4" s="109" t="s">
        <v>6</v>
      </c>
      <c r="D4" s="99"/>
      <c r="E4" s="110" t="s">
        <v>746</v>
      </c>
      <c r="F4" s="99"/>
      <c r="G4" s="110" t="s">
        <v>6</v>
      </c>
      <c r="H4" s="109" t="s">
        <v>762</v>
      </c>
      <c r="I4" s="110" t="s">
        <v>768</v>
      </c>
      <c r="J4" s="99"/>
      <c r="K4" s="99"/>
      <c r="L4" s="99"/>
      <c r="M4" s="4"/>
    </row>
    <row r="5" spans="1:13" ht="12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4"/>
    </row>
    <row r="6" spans="1:13" ht="12.75" customHeight="1">
      <c r="A6" s="108" t="s">
        <v>3</v>
      </c>
      <c r="B6" s="99"/>
      <c r="C6" s="111" t="s">
        <v>871</v>
      </c>
      <c r="D6" s="107"/>
      <c r="E6" s="110" t="s">
        <v>747</v>
      </c>
      <c r="F6" s="99"/>
      <c r="G6" s="110" t="s">
        <v>6</v>
      </c>
      <c r="H6" s="109" t="s">
        <v>763</v>
      </c>
      <c r="I6" s="109" t="s">
        <v>769</v>
      </c>
      <c r="J6" s="99"/>
      <c r="K6" s="99"/>
      <c r="L6" s="99"/>
      <c r="M6" s="4"/>
    </row>
    <row r="7" spans="1:13" ht="12">
      <c r="A7" s="98"/>
      <c r="B7" s="99"/>
      <c r="C7" s="107"/>
      <c r="D7" s="107"/>
      <c r="E7" s="99"/>
      <c r="F7" s="99"/>
      <c r="G7" s="99"/>
      <c r="H7" s="99"/>
      <c r="I7" s="99"/>
      <c r="J7" s="99"/>
      <c r="K7" s="99"/>
      <c r="L7" s="99"/>
      <c r="M7" s="4"/>
    </row>
    <row r="8" spans="1:13" ht="12">
      <c r="A8" s="108" t="s">
        <v>4</v>
      </c>
      <c r="B8" s="99"/>
      <c r="C8" s="109" t="s">
        <v>6</v>
      </c>
      <c r="D8" s="99"/>
      <c r="E8" s="110" t="s">
        <v>748</v>
      </c>
      <c r="F8" s="99"/>
      <c r="G8" s="119" t="s">
        <v>872</v>
      </c>
      <c r="H8" s="109" t="s">
        <v>764</v>
      </c>
      <c r="I8" s="110" t="s">
        <v>768</v>
      </c>
      <c r="J8" s="99"/>
      <c r="K8" s="99"/>
      <c r="L8" s="99"/>
      <c r="M8" s="4"/>
    </row>
    <row r="9" spans="1:13" ht="12.75" thickBot="1">
      <c r="A9" s="117"/>
      <c r="B9" s="118"/>
      <c r="C9" s="118"/>
      <c r="D9" s="118"/>
      <c r="E9" s="118"/>
      <c r="F9" s="118"/>
      <c r="G9" s="120"/>
      <c r="H9" s="118"/>
      <c r="I9" s="118"/>
      <c r="J9" s="118"/>
      <c r="K9" s="118"/>
      <c r="L9" s="118"/>
      <c r="M9" s="4"/>
    </row>
    <row r="10" spans="1:13" ht="12.75">
      <c r="A10" s="5" t="s">
        <v>5</v>
      </c>
      <c r="B10" s="6" t="s">
        <v>250</v>
      </c>
      <c r="C10" s="6" t="s">
        <v>251</v>
      </c>
      <c r="D10" s="6" t="s">
        <v>495</v>
      </c>
      <c r="E10" s="6" t="s">
        <v>749</v>
      </c>
      <c r="F10" s="7" t="s">
        <v>758</v>
      </c>
      <c r="G10" s="8" t="s">
        <v>759</v>
      </c>
      <c r="H10" s="112" t="s">
        <v>765</v>
      </c>
      <c r="I10" s="113"/>
      <c r="J10" s="114"/>
      <c r="K10" s="112" t="s">
        <v>772</v>
      </c>
      <c r="L10" s="114"/>
      <c r="M10" s="9"/>
    </row>
    <row r="11" spans="1:61" ht="13.5" thickBot="1">
      <c r="A11" s="10" t="s">
        <v>6</v>
      </c>
      <c r="B11" s="11" t="s">
        <v>6</v>
      </c>
      <c r="C11" s="11" t="s">
        <v>6</v>
      </c>
      <c r="D11" s="12" t="s">
        <v>496</v>
      </c>
      <c r="E11" s="11" t="s">
        <v>6</v>
      </c>
      <c r="F11" s="11" t="s">
        <v>6</v>
      </c>
      <c r="G11" s="13" t="s">
        <v>760</v>
      </c>
      <c r="H11" s="14" t="s">
        <v>766</v>
      </c>
      <c r="I11" s="15" t="s">
        <v>770</v>
      </c>
      <c r="J11" s="16" t="s">
        <v>771</v>
      </c>
      <c r="K11" s="14" t="s">
        <v>773</v>
      </c>
      <c r="L11" s="16" t="s">
        <v>771</v>
      </c>
      <c r="M11" s="9"/>
      <c r="Y11" s="17" t="s">
        <v>774</v>
      </c>
      <c r="Z11" s="17" t="s">
        <v>775</v>
      </c>
      <c r="AA11" s="17" t="s">
        <v>776</v>
      </c>
      <c r="AB11" s="17" t="s">
        <v>777</v>
      </c>
      <c r="AC11" s="17" t="s">
        <v>778</v>
      </c>
      <c r="AD11" s="17" t="s">
        <v>779</v>
      </c>
      <c r="AE11" s="17" t="s">
        <v>780</v>
      </c>
      <c r="AF11" s="17" t="s">
        <v>781</v>
      </c>
      <c r="AG11" s="17" t="s">
        <v>782</v>
      </c>
      <c r="BG11" s="17" t="s">
        <v>797</v>
      </c>
      <c r="BH11" s="17" t="s">
        <v>798</v>
      </c>
      <c r="BI11" s="17" t="s">
        <v>799</v>
      </c>
    </row>
    <row r="12" spans="1:46" ht="12.75">
      <c r="A12" s="18"/>
      <c r="B12" s="19"/>
      <c r="C12" s="19" t="s">
        <v>67</v>
      </c>
      <c r="D12" s="19" t="s">
        <v>497</v>
      </c>
      <c r="E12" s="20" t="s">
        <v>6</v>
      </c>
      <c r="F12" s="20" t="s">
        <v>6</v>
      </c>
      <c r="G12" s="20" t="s">
        <v>6</v>
      </c>
      <c r="H12" s="21">
        <f>SUM(H13:H13)</f>
        <v>0</v>
      </c>
      <c r="I12" s="21">
        <f>SUM(I13:I13)</f>
        <v>0</v>
      </c>
      <c r="J12" s="21">
        <f>SUM(J13:J13)</f>
        <v>0</v>
      </c>
      <c r="K12" s="22"/>
      <c r="L12" s="21">
        <f>SUM(L13:L13)</f>
        <v>4E-05</v>
      </c>
      <c r="AH12" s="17"/>
      <c r="AR12" s="23">
        <f>SUM(AI13:AI13)</f>
        <v>0</v>
      </c>
      <c r="AS12" s="23">
        <f>SUM(AJ13:AJ13)</f>
        <v>0</v>
      </c>
      <c r="AT12" s="23">
        <f>SUM(AK13:AK13)</f>
        <v>0</v>
      </c>
    </row>
    <row r="13" spans="1:61" ht="12.75">
      <c r="A13" s="24" t="s">
        <v>7</v>
      </c>
      <c r="B13" s="25"/>
      <c r="C13" s="25" t="s">
        <v>252</v>
      </c>
      <c r="D13" s="25" t="s">
        <v>498</v>
      </c>
      <c r="E13" s="25" t="s">
        <v>750</v>
      </c>
      <c r="F13" s="26">
        <v>1</v>
      </c>
      <c r="G13" s="1">
        <v>0</v>
      </c>
      <c r="H13" s="26">
        <f>F13*AN13</f>
        <v>0</v>
      </c>
      <c r="I13" s="26">
        <f>F13*AO13</f>
        <v>0</v>
      </c>
      <c r="J13" s="26">
        <f>F13*G13</f>
        <v>0</v>
      </c>
      <c r="K13" s="26">
        <v>4E-05</v>
      </c>
      <c r="L13" s="26">
        <f>F13*K13</f>
        <v>4E-05</v>
      </c>
      <c r="Y13" s="27">
        <f>IF(AP13="5",BI13,0)</f>
        <v>0</v>
      </c>
      <c r="AA13" s="27">
        <f>IF(AP13="1",BG13,0)</f>
        <v>0</v>
      </c>
      <c r="AB13" s="27">
        <f>IF(AP13="1",BH13,0)</f>
        <v>0</v>
      </c>
      <c r="AC13" s="27">
        <f>IF(AP13="7",BG13,0)</f>
        <v>0</v>
      </c>
      <c r="AD13" s="27">
        <f>IF(AP13="7",BH13,0)</f>
        <v>0</v>
      </c>
      <c r="AE13" s="27">
        <f>IF(AP13="2",BG13,0)</f>
        <v>0</v>
      </c>
      <c r="AF13" s="27">
        <f>IF(AP13="2",BH13,0)</f>
        <v>0</v>
      </c>
      <c r="AG13" s="27">
        <f>IF(AP13="0",BI13,0)</f>
        <v>0</v>
      </c>
      <c r="AH13" s="17"/>
      <c r="AI13" s="26">
        <f>IF(AM13=0,J13,0)</f>
        <v>0</v>
      </c>
      <c r="AJ13" s="26">
        <f>IF(AM13=15,J13,0)</f>
        <v>0</v>
      </c>
      <c r="AK13" s="26">
        <f>IF(AM13=21,J13,0)</f>
        <v>0</v>
      </c>
      <c r="AM13" s="27">
        <v>21</v>
      </c>
      <c r="AN13" s="27">
        <f>G13*0.293421052631579</f>
        <v>0</v>
      </c>
      <c r="AO13" s="27">
        <f>G13*(1-0.293421052631579)</f>
        <v>0</v>
      </c>
      <c r="AP13" s="28" t="s">
        <v>7</v>
      </c>
      <c r="AU13" s="27">
        <f>AV13+AW13</f>
        <v>0</v>
      </c>
      <c r="AV13" s="27">
        <f>F13*AN13</f>
        <v>0</v>
      </c>
      <c r="AW13" s="27">
        <f>F13*AO13</f>
        <v>0</v>
      </c>
      <c r="AX13" s="29" t="s">
        <v>783</v>
      </c>
      <c r="AY13" s="29" t="s">
        <v>792</v>
      </c>
      <c r="AZ13" s="17" t="s">
        <v>796</v>
      </c>
      <c r="BB13" s="27">
        <f>AV13+AW13</f>
        <v>0</v>
      </c>
      <c r="BC13" s="27">
        <f>G13/(100-BD13)*100</f>
        <v>0</v>
      </c>
      <c r="BD13" s="27">
        <v>0</v>
      </c>
      <c r="BE13" s="27">
        <f>L13</f>
        <v>4E-05</v>
      </c>
      <c r="BG13" s="26">
        <f>F13*AN13</f>
        <v>0</v>
      </c>
      <c r="BH13" s="26">
        <f>F13*AO13</f>
        <v>0</v>
      </c>
      <c r="BI13" s="26">
        <f>F13*G13</f>
        <v>0</v>
      </c>
    </row>
    <row r="14" spans="1:46" ht="12.75">
      <c r="A14" s="30"/>
      <c r="B14" s="31"/>
      <c r="C14" s="31" t="s">
        <v>253</v>
      </c>
      <c r="D14" s="31" t="s">
        <v>499</v>
      </c>
      <c r="E14" s="32" t="s">
        <v>6</v>
      </c>
      <c r="F14" s="32" t="s">
        <v>6</v>
      </c>
      <c r="G14" s="32" t="s">
        <v>6</v>
      </c>
      <c r="H14" s="23">
        <f>SUM(H15:H28)</f>
        <v>0</v>
      </c>
      <c r="I14" s="23">
        <f>SUM(I15:I28)</f>
        <v>0</v>
      </c>
      <c r="J14" s="23">
        <f>SUM(J15:J28)</f>
        <v>0</v>
      </c>
      <c r="K14" s="17"/>
      <c r="L14" s="23">
        <f>SUM(L15:L28)</f>
        <v>0.28148</v>
      </c>
      <c r="AH14" s="17"/>
      <c r="AR14" s="23">
        <f>SUM(AI15:AI28)</f>
        <v>0</v>
      </c>
      <c r="AS14" s="23">
        <f>SUM(AJ15:AJ28)</f>
        <v>0</v>
      </c>
      <c r="AT14" s="23">
        <f>SUM(AK15:AK28)</f>
        <v>0</v>
      </c>
    </row>
    <row r="15" spans="1:61" ht="12.75">
      <c r="A15" s="24" t="s">
        <v>8</v>
      </c>
      <c r="B15" s="25"/>
      <c r="C15" s="25" t="s">
        <v>254</v>
      </c>
      <c r="D15" s="25" t="s">
        <v>500</v>
      </c>
      <c r="E15" s="25" t="s">
        <v>750</v>
      </c>
      <c r="F15" s="26">
        <v>1</v>
      </c>
      <c r="G15" s="1">
        <v>0</v>
      </c>
      <c r="H15" s="26">
        <f aca="true" t="shared" si="0" ref="H15:H28">F15*AN15</f>
        <v>0</v>
      </c>
      <c r="I15" s="26">
        <f aca="true" t="shared" si="1" ref="I15:I28">F15*AO15</f>
        <v>0</v>
      </c>
      <c r="J15" s="26">
        <f aca="true" t="shared" si="2" ref="J15:J28">F15*G15</f>
        <v>0</v>
      </c>
      <c r="K15" s="26">
        <v>0</v>
      </c>
      <c r="L15" s="26">
        <f aca="true" t="shared" si="3" ref="L15:L28">F15*K15</f>
        <v>0</v>
      </c>
      <c r="Y15" s="27">
        <f aca="true" t="shared" si="4" ref="Y15:Y28">IF(AP15="5",BI15,0)</f>
        <v>0</v>
      </c>
      <c r="AA15" s="27">
        <f aca="true" t="shared" si="5" ref="AA15:AA28">IF(AP15="1",BG15,0)</f>
        <v>0</v>
      </c>
      <c r="AB15" s="27">
        <f aca="true" t="shared" si="6" ref="AB15:AB28">IF(AP15="1",BH15,0)</f>
        <v>0</v>
      </c>
      <c r="AC15" s="27">
        <f aca="true" t="shared" si="7" ref="AC15:AC28">IF(AP15="7",BG15,0)</f>
        <v>0</v>
      </c>
      <c r="AD15" s="27">
        <f aca="true" t="shared" si="8" ref="AD15:AD28">IF(AP15="7",BH15,0)</f>
        <v>0</v>
      </c>
      <c r="AE15" s="27">
        <f aca="true" t="shared" si="9" ref="AE15:AE28">IF(AP15="2",BG15,0)</f>
        <v>0</v>
      </c>
      <c r="AF15" s="27">
        <f aca="true" t="shared" si="10" ref="AF15:AF28">IF(AP15="2",BH15,0)</f>
        <v>0</v>
      </c>
      <c r="AG15" s="27">
        <f aca="true" t="shared" si="11" ref="AG15:AG28">IF(AP15="0",BI15,0)</f>
        <v>0</v>
      </c>
      <c r="AH15" s="17"/>
      <c r="AI15" s="26">
        <f aca="true" t="shared" si="12" ref="AI15:AI28">IF(AM15=0,J15,0)</f>
        <v>0</v>
      </c>
      <c r="AJ15" s="26">
        <f aca="true" t="shared" si="13" ref="AJ15:AJ28">IF(AM15=15,J15,0)</f>
        <v>0</v>
      </c>
      <c r="AK15" s="26">
        <f aca="true" t="shared" si="14" ref="AK15:AK28">IF(AM15=21,J15,0)</f>
        <v>0</v>
      </c>
      <c r="AM15" s="27">
        <v>21</v>
      </c>
      <c r="AN15" s="27">
        <f>G15*0</f>
        <v>0</v>
      </c>
      <c r="AO15" s="27">
        <f>G15*(1-0)</f>
        <v>0</v>
      </c>
      <c r="AP15" s="28" t="s">
        <v>13</v>
      </c>
      <c r="AU15" s="27">
        <f aca="true" t="shared" si="15" ref="AU15:AU28">AV15+AW15</f>
        <v>0</v>
      </c>
      <c r="AV15" s="27">
        <f aca="true" t="shared" si="16" ref="AV15:AV28">F15*AN15</f>
        <v>0</v>
      </c>
      <c r="AW15" s="27">
        <f aca="true" t="shared" si="17" ref="AW15:AW28">F15*AO15</f>
        <v>0</v>
      </c>
      <c r="AX15" s="29" t="s">
        <v>784</v>
      </c>
      <c r="AY15" s="29" t="s">
        <v>793</v>
      </c>
      <c r="AZ15" s="17" t="s">
        <v>796</v>
      </c>
      <c r="BB15" s="27">
        <f aca="true" t="shared" si="18" ref="BB15:BB28">AV15+AW15</f>
        <v>0</v>
      </c>
      <c r="BC15" s="27">
        <f aca="true" t="shared" si="19" ref="BC15:BC28">G15/(100-BD15)*100</f>
        <v>0</v>
      </c>
      <c r="BD15" s="27">
        <v>0</v>
      </c>
      <c r="BE15" s="27">
        <f aca="true" t="shared" si="20" ref="BE15:BE28">L15</f>
        <v>0</v>
      </c>
      <c r="BG15" s="26">
        <f aca="true" t="shared" si="21" ref="BG15:BG28">F15*AN15</f>
        <v>0</v>
      </c>
      <c r="BH15" s="26">
        <f aca="true" t="shared" si="22" ref="BH15:BH28">F15*AO15</f>
        <v>0</v>
      </c>
      <c r="BI15" s="26">
        <f aca="true" t="shared" si="23" ref="BI15:BI28">F15*G15</f>
        <v>0</v>
      </c>
    </row>
    <row r="16" spans="1:61" ht="12.75">
      <c r="A16" s="24" t="s">
        <v>9</v>
      </c>
      <c r="B16" s="25"/>
      <c r="C16" s="25" t="s">
        <v>255</v>
      </c>
      <c r="D16" s="25" t="s">
        <v>501</v>
      </c>
      <c r="E16" s="25" t="s">
        <v>750</v>
      </c>
      <c r="F16" s="26">
        <v>1</v>
      </c>
      <c r="G16" s="1">
        <v>0</v>
      </c>
      <c r="H16" s="26">
        <f t="shared" si="0"/>
        <v>0</v>
      </c>
      <c r="I16" s="26">
        <f t="shared" si="1"/>
        <v>0</v>
      </c>
      <c r="J16" s="26">
        <f t="shared" si="2"/>
        <v>0</v>
      </c>
      <c r="K16" s="26">
        <v>0</v>
      </c>
      <c r="L16" s="26">
        <f t="shared" si="3"/>
        <v>0</v>
      </c>
      <c r="Y16" s="27">
        <f t="shared" si="4"/>
        <v>0</v>
      </c>
      <c r="AA16" s="27">
        <f t="shared" si="5"/>
        <v>0</v>
      </c>
      <c r="AB16" s="27">
        <f t="shared" si="6"/>
        <v>0</v>
      </c>
      <c r="AC16" s="27">
        <f t="shared" si="7"/>
        <v>0</v>
      </c>
      <c r="AD16" s="27">
        <f t="shared" si="8"/>
        <v>0</v>
      </c>
      <c r="AE16" s="27">
        <f t="shared" si="9"/>
        <v>0</v>
      </c>
      <c r="AF16" s="27">
        <f t="shared" si="10"/>
        <v>0</v>
      </c>
      <c r="AG16" s="27">
        <f t="shared" si="11"/>
        <v>0</v>
      </c>
      <c r="AH16" s="17"/>
      <c r="AI16" s="26">
        <f t="shared" si="12"/>
        <v>0</v>
      </c>
      <c r="AJ16" s="26">
        <f t="shared" si="13"/>
        <v>0</v>
      </c>
      <c r="AK16" s="26">
        <f t="shared" si="14"/>
        <v>0</v>
      </c>
      <c r="AM16" s="27">
        <v>21</v>
      </c>
      <c r="AN16" s="27">
        <f>G16*0</f>
        <v>0</v>
      </c>
      <c r="AO16" s="27">
        <f>G16*(1-0)</f>
        <v>0</v>
      </c>
      <c r="AP16" s="28" t="s">
        <v>13</v>
      </c>
      <c r="AU16" s="27">
        <f t="shared" si="15"/>
        <v>0</v>
      </c>
      <c r="AV16" s="27">
        <f t="shared" si="16"/>
        <v>0</v>
      </c>
      <c r="AW16" s="27">
        <f t="shared" si="17"/>
        <v>0</v>
      </c>
      <c r="AX16" s="29" t="s">
        <v>784</v>
      </c>
      <c r="AY16" s="29" t="s">
        <v>793</v>
      </c>
      <c r="AZ16" s="17" t="s">
        <v>796</v>
      </c>
      <c r="BB16" s="27">
        <f t="shared" si="18"/>
        <v>0</v>
      </c>
      <c r="BC16" s="27">
        <f t="shared" si="19"/>
        <v>0</v>
      </c>
      <c r="BD16" s="27">
        <v>0</v>
      </c>
      <c r="BE16" s="27">
        <f t="shared" si="20"/>
        <v>0</v>
      </c>
      <c r="BG16" s="26">
        <f t="shared" si="21"/>
        <v>0</v>
      </c>
      <c r="BH16" s="26">
        <f t="shared" si="22"/>
        <v>0</v>
      </c>
      <c r="BI16" s="26">
        <f t="shared" si="23"/>
        <v>0</v>
      </c>
    </row>
    <row r="17" spans="1:61" ht="12.75">
      <c r="A17" s="24" t="s">
        <v>10</v>
      </c>
      <c r="B17" s="25"/>
      <c r="C17" s="25" t="s">
        <v>256</v>
      </c>
      <c r="D17" s="25" t="s">
        <v>502</v>
      </c>
      <c r="E17" s="25" t="s">
        <v>750</v>
      </c>
      <c r="F17" s="26">
        <v>1</v>
      </c>
      <c r="G17" s="1">
        <v>0</v>
      </c>
      <c r="H17" s="26">
        <f t="shared" si="0"/>
        <v>0</v>
      </c>
      <c r="I17" s="26">
        <f t="shared" si="1"/>
        <v>0</v>
      </c>
      <c r="J17" s="26">
        <f t="shared" si="2"/>
        <v>0</v>
      </c>
      <c r="K17" s="26">
        <v>0.0324</v>
      </c>
      <c r="L17" s="26">
        <f t="shared" si="3"/>
        <v>0.0324</v>
      </c>
      <c r="Y17" s="27">
        <f t="shared" si="4"/>
        <v>0</v>
      </c>
      <c r="AA17" s="27">
        <f t="shared" si="5"/>
        <v>0</v>
      </c>
      <c r="AB17" s="27">
        <f t="shared" si="6"/>
        <v>0</v>
      </c>
      <c r="AC17" s="27">
        <f t="shared" si="7"/>
        <v>0</v>
      </c>
      <c r="AD17" s="27">
        <f t="shared" si="8"/>
        <v>0</v>
      </c>
      <c r="AE17" s="27">
        <f t="shared" si="9"/>
        <v>0</v>
      </c>
      <c r="AF17" s="27">
        <f t="shared" si="10"/>
        <v>0</v>
      </c>
      <c r="AG17" s="27">
        <f t="shared" si="11"/>
        <v>0</v>
      </c>
      <c r="AH17" s="17"/>
      <c r="AI17" s="26">
        <f t="shared" si="12"/>
        <v>0</v>
      </c>
      <c r="AJ17" s="26">
        <f t="shared" si="13"/>
        <v>0</v>
      </c>
      <c r="AK17" s="26">
        <f t="shared" si="14"/>
        <v>0</v>
      </c>
      <c r="AM17" s="27">
        <v>21</v>
      </c>
      <c r="AN17" s="27">
        <f>G17*0.771804452183166</f>
        <v>0</v>
      </c>
      <c r="AO17" s="27">
        <f>G17*(1-0.771804452183166)</f>
        <v>0</v>
      </c>
      <c r="AP17" s="28" t="s">
        <v>13</v>
      </c>
      <c r="AU17" s="27">
        <f t="shared" si="15"/>
        <v>0</v>
      </c>
      <c r="AV17" s="27">
        <f t="shared" si="16"/>
        <v>0</v>
      </c>
      <c r="AW17" s="27">
        <f t="shared" si="17"/>
        <v>0</v>
      </c>
      <c r="AX17" s="29" t="s">
        <v>784</v>
      </c>
      <c r="AY17" s="29" t="s">
        <v>793</v>
      </c>
      <c r="AZ17" s="17" t="s">
        <v>796</v>
      </c>
      <c r="BB17" s="27">
        <f t="shared" si="18"/>
        <v>0</v>
      </c>
      <c r="BC17" s="27">
        <f t="shared" si="19"/>
        <v>0</v>
      </c>
      <c r="BD17" s="27">
        <v>0</v>
      </c>
      <c r="BE17" s="27">
        <f t="shared" si="20"/>
        <v>0.0324</v>
      </c>
      <c r="BG17" s="26">
        <f t="shared" si="21"/>
        <v>0</v>
      </c>
      <c r="BH17" s="26">
        <f t="shared" si="22"/>
        <v>0</v>
      </c>
      <c r="BI17" s="26">
        <f t="shared" si="23"/>
        <v>0</v>
      </c>
    </row>
    <row r="18" spans="1:61" ht="12.75">
      <c r="A18" s="24" t="s">
        <v>11</v>
      </c>
      <c r="B18" s="25"/>
      <c r="C18" s="25" t="s">
        <v>257</v>
      </c>
      <c r="D18" s="25" t="s">
        <v>503</v>
      </c>
      <c r="E18" s="25" t="s">
        <v>750</v>
      </c>
      <c r="F18" s="26">
        <v>1</v>
      </c>
      <c r="G18" s="1">
        <v>0</v>
      </c>
      <c r="H18" s="26">
        <f t="shared" si="0"/>
        <v>0</v>
      </c>
      <c r="I18" s="26">
        <f t="shared" si="1"/>
        <v>0</v>
      </c>
      <c r="J18" s="26">
        <f t="shared" si="2"/>
        <v>0</v>
      </c>
      <c r="K18" s="26">
        <v>0.0324</v>
      </c>
      <c r="L18" s="26">
        <f t="shared" si="3"/>
        <v>0.0324</v>
      </c>
      <c r="Y18" s="27">
        <f t="shared" si="4"/>
        <v>0</v>
      </c>
      <c r="AA18" s="27">
        <f t="shared" si="5"/>
        <v>0</v>
      </c>
      <c r="AB18" s="27">
        <f t="shared" si="6"/>
        <v>0</v>
      </c>
      <c r="AC18" s="27">
        <f t="shared" si="7"/>
        <v>0</v>
      </c>
      <c r="AD18" s="27">
        <f t="shared" si="8"/>
        <v>0</v>
      </c>
      <c r="AE18" s="27">
        <f t="shared" si="9"/>
        <v>0</v>
      </c>
      <c r="AF18" s="27">
        <f t="shared" si="10"/>
        <v>0</v>
      </c>
      <c r="AG18" s="27">
        <f t="shared" si="11"/>
        <v>0</v>
      </c>
      <c r="AH18" s="17"/>
      <c r="AI18" s="26">
        <f t="shared" si="12"/>
        <v>0</v>
      </c>
      <c r="AJ18" s="26">
        <f t="shared" si="13"/>
        <v>0</v>
      </c>
      <c r="AK18" s="26">
        <f t="shared" si="14"/>
        <v>0</v>
      </c>
      <c r="AM18" s="27">
        <v>21</v>
      </c>
      <c r="AN18" s="27">
        <f>G18*0.81774358974359</f>
        <v>0</v>
      </c>
      <c r="AO18" s="27">
        <f>G18*(1-0.81774358974359)</f>
        <v>0</v>
      </c>
      <c r="AP18" s="28" t="s">
        <v>13</v>
      </c>
      <c r="AU18" s="27">
        <f t="shared" si="15"/>
        <v>0</v>
      </c>
      <c r="AV18" s="27">
        <f t="shared" si="16"/>
        <v>0</v>
      </c>
      <c r="AW18" s="27">
        <f t="shared" si="17"/>
        <v>0</v>
      </c>
      <c r="AX18" s="29" t="s">
        <v>784</v>
      </c>
      <c r="AY18" s="29" t="s">
        <v>793</v>
      </c>
      <c r="AZ18" s="17" t="s">
        <v>796</v>
      </c>
      <c r="BB18" s="27">
        <f t="shared" si="18"/>
        <v>0</v>
      </c>
      <c r="BC18" s="27">
        <f t="shared" si="19"/>
        <v>0</v>
      </c>
      <c r="BD18" s="27">
        <v>0</v>
      </c>
      <c r="BE18" s="27">
        <f t="shared" si="20"/>
        <v>0.0324</v>
      </c>
      <c r="BG18" s="26">
        <f t="shared" si="21"/>
        <v>0</v>
      </c>
      <c r="BH18" s="26">
        <f t="shared" si="22"/>
        <v>0</v>
      </c>
      <c r="BI18" s="26">
        <f t="shared" si="23"/>
        <v>0</v>
      </c>
    </row>
    <row r="19" spans="1:61" ht="12.75">
      <c r="A19" s="24" t="s">
        <v>12</v>
      </c>
      <c r="B19" s="25"/>
      <c r="C19" s="25" t="s">
        <v>258</v>
      </c>
      <c r="D19" s="25" t="s">
        <v>504</v>
      </c>
      <c r="E19" s="25" t="s">
        <v>750</v>
      </c>
      <c r="F19" s="26">
        <v>1</v>
      </c>
      <c r="G19" s="1">
        <v>0</v>
      </c>
      <c r="H19" s="26">
        <f t="shared" si="0"/>
        <v>0</v>
      </c>
      <c r="I19" s="26">
        <f t="shared" si="1"/>
        <v>0</v>
      </c>
      <c r="J19" s="26">
        <f t="shared" si="2"/>
        <v>0</v>
      </c>
      <c r="K19" s="26">
        <v>0.0324</v>
      </c>
      <c r="L19" s="26">
        <f t="shared" si="3"/>
        <v>0.0324</v>
      </c>
      <c r="Y19" s="27">
        <f t="shared" si="4"/>
        <v>0</v>
      </c>
      <c r="AA19" s="27">
        <f t="shared" si="5"/>
        <v>0</v>
      </c>
      <c r="AB19" s="27">
        <f t="shared" si="6"/>
        <v>0</v>
      </c>
      <c r="AC19" s="27">
        <f t="shared" si="7"/>
        <v>0</v>
      </c>
      <c r="AD19" s="27">
        <f t="shared" si="8"/>
        <v>0</v>
      </c>
      <c r="AE19" s="27">
        <f t="shared" si="9"/>
        <v>0</v>
      </c>
      <c r="AF19" s="27">
        <f t="shared" si="10"/>
        <v>0</v>
      </c>
      <c r="AG19" s="27">
        <f t="shared" si="11"/>
        <v>0</v>
      </c>
      <c r="AH19" s="17"/>
      <c r="AI19" s="26">
        <f t="shared" si="12"/>
        <v>0</v>
      </c>
      <c r="AJ19" s="26">
        <f t="shared" si="13"/>
        <v>0</v>
      </c>
      <c r="AK19" s="26">
        <f t="shared" si="14"/>
        <v>0</v>
      </c>
      <c r="AM19" s="27">
        <v>21</v>
      </c>
      <c r="AN19" s="27">
        <f>G19*0.869754768392371</f>
        <v>0</v>
      </c>
      <c r="AO19" s="27">
        <f>G19*(1-0.869754768392371)</f>
        <v>0</v>
      </c>
      <c r="AP19" s="28" t="s">
        <v>13</v>
      </c>
      <c r="AU19" s="27">
        <f t="shared" si="15"/>
        <v>0</v>
      </c>
      <c r="AV19" s="27">
        <f t="shared" si="16"/>
        <v>0</v>
      </c>
      <c r="AW19" s="27">
        <f t="shared" si="17"/>
        <v>0</v>
      </c>
      <c r="AX19" s="29" t="s">
        <v>784</v>
      </c>
      <c r="AY19" s="29" t="s">
        <v>793</v>
      </c>
      <c r="AZ19" s="17" t="s">
        <v>796</v>
      </c>
      <c r="BB19" s="27">
        <f t="shared" si="18"/>
        <v>0</v>
      </c>
      <c r="BC19" s="27">
        <f t="shared" si="19"/>
        <v>0</v>
      </c>
      <c r="BD19" s="27">
        <v>0</v>
      </c>
      <c r="BE19" s="27">
        <f t="shared" si="20"/>
        <v>0.0324</v>
      </c>
      <c r="BG19" s="26">
        <f t="shared" si="21"/>
        <v>0</v>
      </c>
      <c r="BH19" s="26">
        <f t="shared" si="22"/>
        <v>0</v>
      </c>
      <c r="BI19" s="26">
        <f t="shared" si="23"/>
        <v>0</v>
      </c>
    </row>
    <row r="20" spans="1:61" ht="12.75">
      <c r="A20" s="24" t="s">
        <v>13</v>
      </c>
      <c r="B20" s="25"/>
      <c r="C20" s="25" t="s">
        <v>259</v>
      </c>
      <c r="D20" s="25" t="s">
        <v>505</v>
      </c>
      <c r="E20" s="25" t="s">
        <v>750</v>
      </c>
      <c r="F20" s="26">
        <v>1</v>
      </c>
      <c r="G20" s="1">
        <v>0</v>
      </c>
      <c r="H20" s="26">
        <f t="shared" si="0"/>
        <v>0</v>
      </c>
      <c r="I20" s="26">
        <f t="shared" si="1"/>
        <v>0</v>
      </c>
      <c r="J20" s="26">
        <f t="shared" si="2"/>
        <v>0</v>
      </c>
      <c r="K20" s="26">
        <v>0.05309</v>
      </c>
      <c r="L20" s="26">
        <f t="shared" si="3"/>
        <v>0.05309</v>
      </c>
      <c r="Y20" s="27">
        <f t="shared" si="4"/>
        <v>0</v>
      </c>
      <c r="AA20" s="27">
        <f t="shared" si="5"/>
        <v>0</v>
      </c>
      <c r="AB20" s="27">
        <f t="shared" si="6"/>
        <v>0</v>
      </c>
      <c r="AC20" s="27">
        <f t="shared" si="7"/>
        <v>0</v>
      </c>
      <c r="AD20" s="27">
        <f t="shared" si="8"/>
        <v>0</v>
      </c>
      <c r="AE20" s="27">
        <f t="shared" si="9"/>
        <v>0</v>
      </c>
      <c r="AF20" s="27">
        <f t="shared" si="10"/>
        <v>0</v>
      </c>
      <c r="AG20" s="27">
        <f t="shared" si="11"/>
        <v>0</v>
      </c>
      <c r="AH20" s="17"/>
      <c r="AI20" s="26">
        <f t="shared" si="12"/>
        <v>0</v>
      </c>
      <c r="AJ20" s="26">
        <f t="shared" si="13"/>
        <v>0</v>
      </c>
      <c r="AK20" s="26">
        <f t="shared" si="14"/>
        <v>0</v>
      </c>
      <c r="AM20" s="27">
        <v>21</v>
      </c>
      <c r="AN20" s="27">
        <f>G20*0.814659498207885</f>
        <v>0</v>
      </c>
      <c r="AO20" s="27">
        <f>G20*(1-0.814659498207885)</f>
        <v>0</v>
      </c>
      <c r="AP20" s="28" t="s">
        <v>13</v>
      </c>
      <c r="AU20" s="27">
        <f t="shared" si="15"/>
        <v>0</v>
      </c>
      <c r="AV20" s="27">
        <f t="shared" si="16"/>
        <v>0</v>
      </c>
      <c r="AW20" s="27">
        <f t="shared" si="17"/>
        <v>0</v>
      </c>
      <c r="AX20" s="29" t="s">
        <v>784</v>
      </c>
      <c r="AY20" s="29" t="s">
        <v>793</v>
      </c>
      <c r="AZ20" s="17" t="s">
        <v>796</v>
      </c>
      <c r="BB20" s="27">
        <f t="shared" si="18"/>
        <v>0</v>
      </c>
      <c r="BC20" s="27">
        <f t="shared" si="19"/>
        <v>0</v>
      </c>
      <c r="BD20" s="27">
        <v>0</v>
      </c>
      <c r="BE20" s="27">
        <f t="shared" si="20"/>
        <v>0.05309</v>
      </c>
      <c r="BG20" s="26">
        <f t="shared" si="21"/>
        <v>0</v>
      </c>
      <c r="BH20" s="26">
        <f t="shared" si="22"/>
        <v>0</v>
      </c>
      <c r="BI20" s="26">
        <f t="shared" si="23"/>
        <v>0</v>
      </c>
    </row>
    <row r="21" spans="1:61" ht="12.75">
      <c r="A21" s="24" t="s">
        <v>14</v>
      </c>
      <c r="B21" s="25"/>
      <c r="C21" s="25" t="s">
        <v>260</v>
      </c>
      <c r="D21" s="25" t="s">
        <v>506</v>
      </c>
      <c r="E21" s="25" t="s">
        <v>750</v>
      </c>
      <c r="F21" s="26">
        <v>1</v>
      </c>
      <c r="G21" s="1">
        <v>0</v>
      </c>
      <c r="H21" s="26">
        <f t="shared" si="0"/>
        <v>0</v>
      </c>
      <c r="I21" s="26">
        <f t="shared" si="1"/>
        <v>0</v>
      </c>
      <c r="J21" s="26">
        <f t="shared" si="2"/>
        <v>0</v>
      </c>
      <c r="K21" s="26">
        <v>0.05309</v>
      </c>
      <c r="L21" s="26">
        <f t="shared" si="3"/>
        <v>0.05309</v>
      </c>
      <c r="Y21" s="27">
        <f t="shared" si="4"/>
        <v>0</v>
      </c>
      <c r="AA21" s="27">
        <f t="shared" si="5"/>
        <v>0</v>
      </c>
      <c r="AB21" s="27">
        <f t="shared" si="6"/>
        <v>0</v>
      </c>
      <c r="AC21" s="27">
        <f t="shared" si="7"/>
        <v>0</v>
      </c>
      <c r="AD21" s="27">
        <f t="shared" si="8"/>
        <v>0</v>
      </c>
      <c r="AE21" s="27">
        <f t="shared" si="9"/>
        <v>0</v>
      </c>
      <c r="AF21" s="27">
        <f t="shared" si="10"/>
        <v>0</v>
      </c>
      <c r="AG21" s="27">
        <f t="shared" si="11"/>
        <v>0</v>
      </c>
      <c r="AH21" s="17"/>
      <c r="AI21" s="26">
        <f t="shared" si="12"/>
        <v>0</v>
      </c>
      <c r="AJ21" s="26">
        <f t="shared" si="13"/>
        <v>0</v>
      </c>
      <c r="AK21" s="26">
        <f t="shared" si="14"/>
        <v>0</v>
      </c>
      <c r="AM21" s="27">
        <v>21</v>
      </c>
      <c r="AN21" s="27">
        <f>G21*0.848633308439134</f>
        <v>0</v>
      </c>
      <c r="AO21" s="27">
        <f>G21*(1-0.848633308439134)</f>
        <v>0</v>
      </c>
      <c r="AP21" s="28" t="s">
        <v>13</v>
      </c>
      <c r="AU21" s="27">
        <f t="shared" si="15"/>
        <v>0</v>
      </c>
      <c r="AV21" s="27">
        <f t="shared" si="16"/>
        <v>0</v>
      </c>
      <c r="AW21" s="27">
        <f t="shared" si="17"/>
        <v>0</v>
      </c>
      <c r="AX21" s="29" t="s">
        <v>784</v>
      </c>
      <c r="AY21" s="29" t="s">
        <v>793</v>
      </c>
      <c r="AZ21" s="17" t="s">
        <v>796</v>
      </c>
      <c r="BB21" s="27">
        <f t="shared" si="18"/>
        <v>0</v>
      </c>
      <c r="BC21" s="27">
        <f t="shared" si="19"/>
        <v>0</v>
      </c>
      <c r="BD21" s="27">
        <v>0</v>
      </c>
      <c r="BE21" s="27">
        <f t="shared" si="20"/>
        <v>0.05309</v>
      </c>
      <c r="BG21" s="26">
        <f t="shared" si="21"/>
        <v>0</v>
      </c>
      <c r="BH21" s="26">
        <f t="shared" si="22"/>
        <v>0</v>
      </c>
      <c r="BI21" s="26">
        <f t="shared" si="23"/>
        <v>0</v>
      </c>
    </row>
    <row r="22" spans="1:61" ht="12.75">
      <c r="A22" s="24" t="s">
        <v>15</v>
      </c>
      <c r="B22" s="25"/>
      <c r="C22" s="25" t="s">
        <v>261</v>
      </c>
      <c r="D22" s="25" t="s">
        <v>507</v>
      </c>
      <c r="E22" s="25" t="s">
        <v>750</v>
      </c>
      <c r="F22" s="26">
        <v>1</v>
      </c>
      <c r="G22" s="1">
        <v>0</v>
      </c>
      <c r="H22" s="26">
        <f t="shared" si="0"/>
        <v>0</v>
      </c>
      <c r="I22" s="26">
        <f t="shared" si="1"/>
        <v>0</v>
      </c>
      <c r="J22" s="26">
        <f t="shared" si="2"/>
        <v>0</v>
      </c>
      <c r="K22" s="26">
        <v>0.05309</v>
      </c>
      <c r="L22" s="26">
        <f t="shared" si="3"/>
        <v>0.05309</v>
      </c>
      <c r="Y22" s="27">
        <f t="shared" si="4"/>
        <v>0</v>
      </c>
      <c r="AA22" s="27">
        <f t="shared" si="5"/>
        <v>0</v>
      </c>
      <c r="AB22" s="27">
        <f t="shared" si="6"/>
        <v>0</v>
      </c>
      <c r="AC22" s="27">
        <f t="shared" si="7"/>
        <v>0</v>
      </c>
      <c r="AD22" s="27">
        <f t="shared" si="8"/>
        <v>0</v>
      </c>
      <c r="AE22" s="27">
        <f t="shared" si="9"/>
        <v>0</v>
      </c>
      <c r="AF22" s="27">
        <f t="shared" si="10"/>
        <v>0</v>
      </c>
      <c r="AG22" s="27">
        <f t="shared" si="11"/>
        <v>0</v>
      </c>
      <c r="AH22" s="17"/>
      <c r="AI22" s="26">
        <f t="shared" si="12"/>
        <v>0</v>
      </c>
      <c r="AJ22" s="26">
        <f t="shared" si="13"/>
        <v>0</v>
      </c>
      <c r="AK22" s="26">
        <f t="shared" si="14"/>
        <v>0</v>
      </c>
      <c r="AM22" s="27">
        <v>21</v>
      </c>
      <c r="AN22" s="27">
        <f>G22*0.885572876071707</f>
        <v>0</v>
      </c>
      <c r="AO22" s="27">
        <f>G22*(1-0.885572876071707)</f>
        <v>0</v>
      </c>
      <c r="AP22" s="28" t="s">
        <v>13</v>
      </c>
      <c r="AU22" s="27">
        <f t="shared" si="15"/>
        <v>0</v>
      </c>
      <c r="AV22" s="27">
        <f t="shared" si="16"/>
        <v>0</v>
      </c>
      <c r="AW22" s="27">
        <f t="shared" si="17"/>
        <v>0</v>
      </c>
      <c r="AX22" s="29" t="s">
        <v>784</v>
      </c>
      <c r="AY22" s="29" t="s">
        <v>793</v>
      </c>
      <c r="AZ22" s="17" t="s">
        <v>796</v>
      </c>
      <c r="BB22" s="27">
        <f t="shared" si="18"/>
        <v>0</v>
      </c>
      <c r="BC22" s="27">
        <f t="shared" si="19"/>
        <v>0</v>
      </c>
      <c r="BD22" s="27">
        <v>0</v>
      </c>
      <c r="BE22" s="27">
        <f t="shared" si="20"/>
        <v>0.05309</v>
      </c>
      <c r="BG22" s="26">
        <f t="shared" si="21"/>
        <v>0</v>
      </c>
      <c r="BH22" s="26">
        <f t="shared" si="22"/>
        <v>0</v>
      </c>
      <c r="BI22" s="26">
        <f t="shared" si="23"/>
        <v>0</v>
      </c>
    </row>
    <row r="23" spans="1:61" ht="12.75">
      <c r="A23" s="24" t="s">
        <v>16</v>
      </c>
      <c r="B23" s="25"/>
      <c r="C23" s="25" t="s">
        <v>262</v>
      </c>
      <c r="D23" s="25" t="s">
        <v>508</v>
      </c>
      <c r="E23" s="25" t="s">
        <v>751</v>
      </c>
      <c r="F23" s="26">
        <v>1</v>
      </c>
      <c r="G23" s="1">
        <v>0</v>
      </c>
      <c r="H23" s="26">
        <f t="shared" si="0"/>
        <v>0</v>
      </c>
      <c r="I23" s="26">
        <f t="shared" si="1"/>
        <v>0</v>
      </c>
      <c r="J23" s="26">
        <f t="shared" si="2"/>
        <v>0</v>
      </c>
      <c r="K23" s="26">
        <v>0.00285</v>
      </c>
      <c r="L23" s="26">
        <f t="shared" si="3"/>
        <v>0.00285</v>
      </c>
      <c r="Y23" s="27">
        <f t="shared" si="4"/>
        <v>0</v>
      </c>
      <c r="AA23" s="27">
        <f t="shared" si="5"/>
        <v>0</v>
      </c>
      <c r="AB23" s="27">
        <f t="shared" si="6"/>
        <v>0</v>
      </c>
      <c r="AC23" s="27">
        <f t="shared" si="7"/>
        <v>0</v>
      </c>
      <c r="AD23" s="27">
        <f t="shared" si="8"/>
        <v>0</v>
      </c>
      <c r="AE23" s="27">
        <f t="shared" si="9"/>
        <v>0</v>
      </c>
      <c r="AF23" s="27">
        <f t="shared" si="10"/>
        <v>0</v>
      </c>
      <c r="AG23" s="27">
        <f t="shared" si="11"/>
        <v>0</v>
      </c>
      <c r="AH23" s="17"/>
      <c r="AI23" s="26">
        <f t="shared" si="12"/>
        <v>0</v>
      </c>
      <c r="AJ23" s="26">
        <f t="shared" si="13"/>
        <v>0</v>
      </c>
      <c r="AK23" s="26">
        <f t="shared" si="14"/>
        <v>0</v>
      </c>
      <c r="AM23" s="27">
        <v>21</v>
      </c>
      <c r="AN23" s="27">
        <f>G23*0.353938730853392</f>
        <v>0</v>
      </c>
      <c r="AO23" s="27">
        <f>G23*(1-0.353938730853392)</f>
        <v>0</v>
      </c>
      <c r="AP23" s="28" t="s">
        <v>13</v>
      </c>
      <c r="AU23" s="27">
        <f t="shared" si="15"/>
        <v>0</v>
      </c>
      <c r="AV23" s="27">
        <f t="shared" si="16"/>
        <v>0</v>
      </c>
      <c r="AW23" s="27">
        <f t="shared" si="17"/>
        <v>0</v>
      </c>
      <c r="AX23" s="29" t="s">
        <v>784</v>
      </c>
      <c r="AY23" s="29" t="s">
        <v>793</v>
      </c>
      <c r="AZ23" s="17" t="s">
        <v>796</v>
      </c>
      <c r="BB23" s="27">
        <f t="shared" si="18"/>
        <v>0</v>
      </c>
      <c r="BC23" s="27">
        <f t="shared" si="19"/>
        <v>0</v>
      </c>
      <c r="BD23" s="27">
        <v>0</v>
      </c>
      <c r="BE23" s="27">
        <f t="shared" si="20"/>
        <v>0.00285</v>
      </c>
      <c r="BG23" s="26">
        <f t="shared" si="21"/>
        <v>0</v>
      </c>
      <c r="BH23" s="26">
        <f t="shared" si="22"/>
        <v>0</v>
      </c>
      <c r="BI23" s="26">
        <f t="shared" si="23"/>
        <v>0</v>
      </c>
    </row>
    <row r="24" spans="1:61" ht="12.75">
      <c r="A24" s="24" t="s">
        <v>17</v>
      </c>
      <c r="B24" s="25"/>
      <c r="C24" s="25" t="s">
        <v>263</v>
      </c>
      <c r="D24" s="25" t="s">
        <v>509</v>
      </c>
      <c r="E24" s="25" t="s">
        <v>750</v>
      </c>
      <c r="F24" s="26">
        <v>1</v>
      </c>
      <c r="G24" s="1">
        <v>0</v>
      </c>
      <c r="H24" s="26">
        <f t="shared" si="0"/>
        <v>0</v>
      </c>
      <c r="I24" s="26">
        <f t="shared" si="1"/>
        <v>0</v>
      </c>
      <c r="J24" s="26">
        <f t="shared" si="2"/>
        <v>0</v>
      </c>
      <c r="K24" s="26">
        <v>0.02216</v>
      </c>
      <c r="L24" s="26">
        <f t="shared" si="3"/>
        <v>0.02216</v>
      </c>
      <c r="Y24" s="27">
        <f t="shared" si="4"/>
        <v>0</v>
      </c>
      <c r="AA24" s="27">
        <f t="shared" si="5"/>
        <v>0</v>
      </c>
      <c r="AB24" s="27">
        <f t="shared" si="6"/>
        <v>0</v>
      </c>
      <c r="AC24" s="27">
        <f t="shared" si="7"/>
        <v>0</v>
      </c>
      <c r="AD24" s="27">
        <f t="shared" si="8"/>
        <v>0</v>
      </c>
      <c r="AE24" s="27">
        <f t="shared" si="9"/>
        <v>0</v>
      </c>
      <c r="AF24" s="27">
        <f t="shared" si="10"/>
        <v>0</v>
      </c>
      <c r="AG24" s="27">
        <f t="shared" si="11"/>
        <v>0</v>
      </c>
      <c r="AH24" s="17"/>
      <c r="AI24" s="26">
        <f t="shared" si="12"/>
        <v>0</v>
      </c>
      <c r="AJ24" s="26">
        <f t="shared" si="13"/>
        <v>0</v>
      </c>
      <c r="AK24" s="26">
        <f t="shared" si="14"/>
        <v>0</v>
      </c>
      <c r="AM24" s="27">
        <v>21</v>
      </c>
      <c r="AN24" s="27">
        <f>G24*0.0820128479657388</f>
        <v>0</v>
      </c>
      <c r="AO24" s="27">
        <f>G24*(1-0.0820128479657388)</f>
        <v>0</v>
      </c>
      <c r="AP24" s="28" t="s">
        <v>13</v>
      </c>
      <c r="AU24" s="27">
        <f t="shared" si="15"/>
        <v>0</v>
      </c>
      <c r="AV24" s="27">
        <f t="shared" si="16"/>
        <v>0</v>
      </c>
      <c r="AW24" s="27">
        <f t="shared" si="17"/>
        <v>0</v>
      </c>
      <c r="AX24" s="29" t="s">
        <v>784</v>
      </c>
      <c r="AY24" s="29" t="s">
        <v>793</v>
      </c>
      <c r="AZ24" s="17" t="s">
        <v>796</v>
      </c>
      <c r="BB24" s="27">
        <f t="shared" si="18"/>
        <v>0</v>
      </c>
      <c r="BC24" s="27">
        <f t="shared" si="19"/>
        <v>0</v>
      </c>
      <c r="BD24" s="27">
        <v>0</v>
      </c>
      <c r="BE24" s="27">
        <f t="shared" si="20"/>
        <v>0.02216</v>
      </c>
      <c r="BG24" s="26">
        <f t="shared" si="21"/>
        <v>0</v>
      </c>
      <c r="BH24" s="26">
        <f t="shared" si="22"/>
        <v>0</v>
      </c>
      <c r="BI24" s="26">
        <f t="shared" si="23"/>
        <v>0</v>
      </c>
    </row>
    <row r="25" spans="1:61" ht="12.75">
      <c r="A25" s="24" t="s">
        <v>18</v>
      </c>
      <c r="B25" s="25"/>
      <c r="C25" s="25" t="s">
        <v>264</v>
      </c>
      <c r="D25" s="25" t="s">
        <v>510</v>
      </c>
      <c r="E25" s="25" t="s">
        <v>752</v>
      </c>
      <c r="F25" s="26">
        <v>1</v>
      </c>
      <c r="G25" s="1">
        <v>0</v>
      </c>
      <c r="H25" s="26">
        <f t="shared" si="0"/>
        <v>0</v>
      </c>
      <c r="I25" s="26">
        <f t="shared" si="1"/>
        <v>0</v>
      </c>
      <c r="J25" s="26">
        <f t="shared" si="2"/>
        <v>0</v>
      </c>
      <c r="K25" s="26">
        <v>0</v>
      </c>
      <c r="L25" s="26">
        <f t="shared" si="3"/>
        <v>0</v>
      </c>
      <c r="Y25" s="27">
        <f t="shared" si="4"/>
        <v>0</v>
      </c>
      <c r="AA25" s="27">
        <f t="shared" si="5"/>
        <v>0</v>
      </c>
      <c r="AB25" s="27">
        <f t="shared" si="6"/>
        <v>0</v>
      </c>
      <c r="AC25" s="27">
        <f t="shared" si="7"/>
        <v>0</v>
      </c>
      <c r="AD25" s="27">
        <f t="shared" si="8"/>
        <v>0</v>
      </c>
      <c r="AE25" s="27">
        <f t="shared" si="9"/>
        <v>0</v>
      </c>
      <c r="AF25" s="27">
        <f t="shared" si="10"/>
        <v>0</v>
      </c>
      <c r="AG25" s="27">
        <f t="shared" si="11"/>
        <v>0</v>
      </c>
      <c r="AH25" s="17"/>
      <c r="AI25" s="26">
        <f t="shared" si="12"/>
        <v>0</v>
      </c>
      <c r="AJ25" s="26">
        <f t="shared" si="13"/>
        <v>0</v>
      </c>
      <c r="AK25" s="26">
        <f t="shared" si="14"/>
        <v>0</v>
      </c>
      <c r="AM25" s="27">
        <v>21</v>
      </c>
      <c r="AN25" s="27">
        <f>G25*0</f>
        <v>0</v>
      </c>
      <c r="AO25" s="27">
        <f>G25*(1-0)</f>
        <v>0</v>
      </c>
      <c r="AP25" s="28" t="s">
        <v>11</v>
      </c>
      <c r="AU25" s="27">
        <f t="shared" si="15"/>
        <v>0</v>
      </c>
      <c r="AV25" s="27">
        <f t="shared" si="16"/>
        <v>0</v>
      </c>
      <c r="AW25" s="27">
        <f t="shared" si="17"/>
        <v>0</v>
      </c>
      <c r="AX25" s="29" t="s">
        <v>784</v>
      </c>
      <c r="AY25" s="29" t="s">
        <v>793</v>
      </c>
      <c r="AZ25" s="17" t="s">
        <v>796</v>
      </c>
      <c r="BB25" s="27">
        <f t="shared" si="18"/>
        <v>0</v>
      </c>
      <c r="BC25" s="27">
        <f t="shared" si="19"/>
        <v>0</v>
      </c>
      <c r="BD25" s="27">
        <v>0</v>
      </c>
      <c r="BE25" s="27">
        <f t="shared" si="20"/>
        <v>0</v>
      </c>
      <c r="BG25" s="26">
        <f t="shared" si="21"/>
        <v>0</v>
      </c>
      <c r="BH25" s="26">
        <f t="shared" si="22"/>
        <v>0</v>
      </c>
      <c r="BI25" s="26">
        <f t="shared" si="23"/>
        <v>0</v>
      </c>
    </row>
    <row r="26" spans="1:61" ht="12.75">
      <c r="A26" s="24" t="s">
        <v>19</v>
      </c>
      <c r="B26" s="25"/>
      <c r="C26" s="25" t="s">
        <v>265</v>
      </c>
      <c r="D26" s="25" t="s">
        <v>511</v>
      </c>
      <c r="E26" s="25" t="s">
        <v>752</v>
      </c>
      <c r="F26" s="26">
        <v>1</v>
      </c>
      <c r="G26" s="1">
        <v>0</v>
      </c>
      <c r="H26" s="26">
        <f t="shared" si="0"/>
        <v>0</v>
      </c>
      <c r="I26" s="26">
        <f t="shared" si="1"/>
        <v>0</v>
      </c>
      <c r="J26" s="26">
        <f t="shared" si="2"/>
        <v>0</v>
      </c>
      <c r="K26" s="26">
        <v>0</v>
      </c>
      <c r="L26" s="26">
        <f t="shared" si="3"/>
        <v>0</v>
      </c>
      <c r="Y26" s="27">
        <f t="shared" si="4"/>
        <v>0</v>
      </c>
      <c r="AA26" s="27">
        <f t="shared" si="5"/>
        <v>0</v>
      </c>
      <c r="AB26" s="27">
        <f t="shared" si="6"/>
        <v>0</v>
      </c>
      <c r="AC26" s="27">
        <f t="shared" si="7"/>
        <v>0</v>
      </c>
      <c r="AD26" s="27">
        <f t="shared" si="8"/>
        <v>0</v>
      </c>
      <c r="AE26" s="27">
        <f t="shared" si="9"/>
        <v>0</v>
      </c>
      <c r="AF26" s="27">
        <f t="shared" si="10"/>
        <v>0</v>
      </c>
      <c r="AG26" s="27">
        <f t="shared" si="11"/>
        <v>0</v>
      </c>
      <c r="AH26" s="17"/>
      <c r="AI26" s="26">
        <f t="shared" si="12"/>
        <v>0</v>
      </c>
      <c r="AJ26" s="26">
        <f t="shared" si="13"/>
        <v>0</v>
      </c>
      <c r="AK26" s="26">
        <f t="shared" si="14"/>
        <v>0</v>
      </c>
      <c r="AM26" s="27">
        <v>21</v>
      </c>
      <c r="AN26" s="27">
        <f>G26*0</f>
        <v>0</v>
      </c>
      <c r="AO26" s="27">
        <f>G26*(1-0)</f>
        <v>0</v>
      </c>
      <c r="AP26" s="28" t="s">
        <v>11</v>
      </c>
      <c r="AU26" s="27">
        <f t="shared" si="15"/>
        <v>0</v>
      </c>
      <c r="AV26" s="27">
        <f t="shared" si="16"/>
        <v>0</v>
      </c>
      <c r="AW26" s="27">
        <f t="shared" si="17"/>
        <v>0</v>
      </c>
      <c r="AX26" s="29" t="s">
        <v>784</v>
      </c>
      <c r="AY26" s="29" t="s">
        <v>793</v>
      </c>
      <c r="AZ26" s="17" t="s">
        <v>796</v>
      </c>
      <c r="BB26" s="27">
        <f t="shared" si="18"/>
        <v>0</v>
      </c>
      <c r="BC26" s="27">
        <f t="shared" si="19"/>
        <v>0</v>
      </c>
      <c r="BD26" s="27">
        <v>0</v>
      </c>
      <c r="BE26" s="27">
        <f t="shared" si="20"/>
        <v>0</v>
      </c>
      <c r="BG26" s="26">
        <f t="shared" si="21"/>
        <v>0</v>
      </c>
      <c r="BH26" s="26">
        <f t="shared" si="22"/>
        <v>0</v>
      </c>
      <c r="BI26" s="26">
        <f t="shared" si="23"/>
        <v>0</v>
      </c>
    </row>
    <row r="27" spans="1:61" ht="12.75">
      <c r="A27" s="24" t="s">
        <v>20</v>
      </c>
      <c r="B27" s="25"/>
      <c r="C27" s="25" t="s">
        <v>266</v>
      </c>
      <c r="D27" s="25" t="s">
        <v>512</v>
      </c>
      <c r="E27" s="25" t="s">
        <v>752</v>
      </c>
      <c r="F27" s="26">
        <v>1</v>
      </c>
      <c r="G27" s="1">
        <v>0</v>
      </c>
      <c r="H27" s="26">
        <f t="shared" si="0"/>
        <v>0</v>
      </c>
      <c r="I27" s="26">
        <f t="shared" si="1"/>
        <v>0</v>
      </c>
      <c r="J27" s="26">
        <f t="shared" si="2"/>
        <v>0</v>
      </c>
      <c r="K27" s="26">
        <v>0</v>
      </c>
      <c r="L27" s="26">
        <f t="shared" si="3"/>
        <v>0</v>
      </c>
      <c r="Y27" s="27">
        <f t="shared" si="4"/>
        <v>0</v>
      </c>
      <c r="AA27" s="27">
        <f t="shared" si="5"/>
        <v>0</v>
      </c>
      <c r="AB27" s="27">
        <f t="shared" si="6"/>
        <v>0</v>
      </c>
      <c r="AC27" s="27">
        <f t="shared" si="7"/>
        <v>0</v>
      </c>
      <c r="AD27" s="27">
        <f t="shared" si="8"/>
        <v>0</v>
      </c>
      <c r="AE27" s="27">
        <f t="shared" si="9"/>
        <v>0</v>
      </c>
      <c r="AF27" s="27">
        <f t="shared" si="10"/>
        <v>0</v>
      </c>
      <c r="AG27" s="27">
        <f t="shared" si="11"/>
        <v>0</v>
      </c>
      <c r="AH27" s="17"/>
      <c r="AI27" s="26">
        <f t="shared" si="12"/>
        <v>0</v>
      </c>
      <c r="AJ27" s="26">
        <f t="shared" si="13"/>
        <v>0</v>
      </c>
      <c r="AK27" s="26">
        <f t="shared" si="14"/>
        <v>0</v>
      </c>
      <c r="AM27" s="27">
        <v>21</v>
      </c>
      <c r="AN27" s="27">
        <f>G27*0</f>
        <v>0</v>
      </c>
      <c r="AO27" s="27">
        <f>G27*(1-0)</f>
        <v>0</v>
      </c>
      <c r="AP27" s="28" t="s">
        <v>11</v>
      </c>
      <c r="AU27" s="27">
        <f t="shared" si="15"/>
        <v>0</v>
      </c>
      <c r="AV27" s="27">
        <f t="shared" si="16"/>
        <v>0</v>
      </c>
      <c r="AW27" s="27">
        <f t="shared" si="17"/>
        <v>0</v>
      </c>
      <c r="AX27" s="29" t="s">
        <v>784</v>
      </c>
      <c r="AY27" s="29" t="s">
        <v>793</v>
      </c>
      <c r="AZ27" s="17" t="s">
        <v>796</v>
      </c>
      <c r="BB27" s="27">
        <f t="shared" si="18"/>
        <v>0</v>
      </c>
      <c r="BC27" s="27">
        <f t="shared" si="19"/>
        <v>0</v>
      </c>
      <c r="BD27" s="27">
        <v>0</v>
      </c>
      <c r="BE27" s="27">
        <f t="shared" si="20"/>
        <v>0</v>
      </c>
      <c r="BG27" s="26">
        <f t="shared" si="21"/>
        <v>0</v>
      </c>
      <c r="BH27" s="26">
        <f t="shared" si="22"/>
        <v>0</v>
      </c>
      <c r="BI27" s="26">
        <f t="shared" si="23"/>
        <v>0</v>
      </c>
    </row>
    <row r="28" spans="1:61" ht="12.75">
      <c r="A28" s="24" t="s">
        <v>21</v>
      </c>
      <c r="B28" s="25"/>
      <c r="C28" s="25" t="s">
        <v>267</v>
      </c>
      <c r="D28" s="25" t="s">
        <v>513</v>
      </c>
      <c r="E28" s="25" t="s">
        <v>752</v>
      </c>
      <c r="F28" s="26">
        <v>1</v>
      </c>
      <c r="G28" s="1">
        <v>0</v>
      </c>
      <c r="H28" s="26">
        <f t="shared" si="0"/>
        <v>0</v>
      </c>
      <c r="I28" s="26">
        <f t="shared" si="1"/>
        <v>0</v>
      </c>
      <c r="J28" s="26">
        <f t="shared" si="2"/>
        <v>0</v>
      </c>
      <c r="K28" s="26">
        <v>0</v>
      </c>
      <c r="L28" s="26">
        <f t="shared" si="3"/>
        <v>0</v>
      </c>
      <c r="Y28" s="27">
        <f t="shared" si="4"/>
        <v>0</v>
      </c>
      <c r="AA28" s="27">
        <f t="shared" si="5"/>
        <v>0</v>
      </c>
      <c r="AB28" s="27">
        <f t="shared" si="6"/>
        <v>0</v>
      </c>
      <c r="AC28" s="27">
        <f t="shared" si="7"/>
        <v>0</v>
      </c>
      <c r="AD28" s="27">
        <f t="shared" si="8"/>
        <v>0</v>
      </c>
      <c r="AE28" s="27">
        <f t="shared" si="9"/>
        <v>0</v>
      </c>
      <c r="AF28" s="27">
        <f t="shared" si="10"/>
        <v>0</v>
      </c>
      <c r="AG28" s="27">
        <f t="shared" si="11"/>
        <v>0</v>
      </c>
      <c r="AH28" s="17"/>
      <c r="AI28" s="26">
        <f t="shared" si="12"/>
        <v>0</v>
      </c>
      <c r="AJ28" s="26">
        <f t="shared" si="13"/>
        <v>0</v>
      </c>
      <c r="AK28" s="26">
        <f t="shared" si="14"/>
        <v>0</v>
      </c>
      <c r="AM28" s="27">
        <v>21</v>
      </c>
      <c r="AN28" s="27">
        <f>G28*0</f>
        <v>0</v>
      </c>
      <c r="AO28" s="27">
        <f>G28*(1-0)</f>
        <v>0</v>
      </c>
      <c r="AP28" s="28" t="s">
        <v>11</v>
      </c>
      <c r="AU28" s="27">
        <f t="shared" si="15"/>
        <v>0</v>
      </c>
      <c r="AV28" s="27">
        <f t="shared" si="16"/>
        <v>0</v>
      </c>
      <c r="AW28" s="27">
        <f t="shared" si="17"/>
        <v>0</v>
      </c>
      <c r="AX28" s="29" t="s">
        <v>784</v>
      </c>
      <c r="AY28" s="29" t="s">
        <v>793</v>
      </c>
      <c r="AZ28" s="17" t="s">
        <v>796</v>
      </c>
      <c r="BB28" s="27">
        <f t="shared" si="18"/>
        <v>0</v>
      </c>
      <c r="BC28" s="27">
        <f t="shared" si="19"/>
        <v>0</v>
      </c>
      <c r="BD28" s="27">
        <v>0</v>
      </c>
      <c r="BE28" s="27">
        <f t="shared" si="20"/>
        <v>0</v>
      </c>
      <c r="BG28" s="26">
        <f t="shared" si="21"/>
        <v>0</v>
      </c>
      <c r="BH28" s="26">
        <f t="shared" si="22"/>
        <v>0</v>
      </c>
      <c r="BI28" s="26">
        <f t="shared" si="23"/>
        <v>0</v>
      </c>
    </row>
    <row r="29" spans="1:46" ht="12.75">
      <c r="A29" s="30"/>
      <c r="B29" s="31"/>
      <c r="C29" s="31" t="s">
        <v>268</v>
      </c>
      <c r="D29" s="31" t="s">
        <v>514</v>
      </c>
      <c r="E29" s="32" t="s">
        <v>6</v>
      </c>
      <c r="F29" s="32" t="s">
        <v>6</v>
      </c>
      <c r="G29" s="33"/>
      <c r="H29" s="23">
        <f>SUM(H30:H137)</f>
        <v>0</v>
      </c>
      <c r="I29" s="23">
        <f>SUM(I30:I137)</f>
        <v>0</v>
      </c>
      <c r="J29" s="23">
        <f>SUM(J30:J137)</f>
        <v>0</v>
      </c>
      <c r="K29" s="17"/>
      <c r="L29" s="23">
        <f>SUM(L30:L137)</f>
        <v>0.2788100000000002</v>
      </c>
      <c r="AH29" s="17"/>
      <c r="AR29" s="23">
        <f>SUM(AI30:AI137)</f>
        <v>0</v>
      </c>
      <c r="AS29" s="23">
        <f>SUM(AJ30:AJ137)</f>
        <v>0</v>
      </c>
      <c r="AT29" s="23">
        <f>SUM(AK30:AK137)</f>
        <v>0</v>
      </c>
    </row>
    <row r="30" spans="1:61" ht="12.75">
      <c r="A30" s="24" t="s">
        <v>22</v>
      </c>
      <c r="B30" s="25"/>
      <c r="C30" s="25" t="s">
        <v>269</v>
      </c>
      <c r="D30" s="25" t="s">
        <v>515</v>
      </c>
      <c r="E30" s="25" t="s">
        <v>753</v>
      </c>
      <c r="F30" s="26">
        <v>1</v>
      </c>
      <c r="G30" s="1">
        <v>0</v>
      </c>
      <c r="H30" s="26">
        <f aca="true" t="shared" si="24" ref="H30:H43">F30*AN30</f>
        <v>0</v>
      </c>
      <c r="I30" s="26">
        <f aca="true" t="shared" si="25" ref="I30:I43">F30*AO30</f>
        <v>0</v>
      </c>
      <c r="J30" s="26">
        <f aca="true" t="shared" si="26" ref="J30:J43">F30*G30</f>
        <v>0</v>
      </c>
      <c r="K30" s="26">
        <v>0.01638</v>
      </c>
      <c r="L30" s="26">
        <f aca="true" t="shared" si="27" ref="L30:L43">F30*K30</f>
        <v>0.01638</v>
      </c>
      <c r="Y30" s="27">
        <f aca="true" t="shared" si="28" ref="Y30:Y43">IF(AP30="5",BI30,0)</f>
        <v>0</v>
      </c>
      <c r="AA30" s="27">
        <f aca="true" t="shared" si="29" ref="AA30:AA43">IF(AP30="1",BG30,0)</f>
        <v>0</v>
      </c>
      <c r="AB30" s="27">
        <f aca="true" t="shared" si="30" ref="AB30:AB43">IF(AP30="1",BH30,0)</f>
        <v>0</v>
      </c>
      <c r="AC30" s="27">
        <f aca="true" t="shared" si="31" ref="AC30:AC43">IF(AP30="7",BG30,0)</f>
        <v>0</v>
      </c>
      <c r="AD30" s="27">
        <f aca="true" t="shared" si="32" ref="AD30:AD43">IF(AP30="7",BH30,0)</f>
        <v>0</v>
      </c>
      <c r="AE30" s="27">
        <f aca="true" t="shared" si="33" ref="AE30:AE43">IF(AP30="2",BG30,0)</f>
        <v>0</v>
      </c>
      <c r="AF30" s="27">
        <f aca="true" t="shared" si="34" ref="AF30:AF43">IF(AP30="2",BH30,0)</f>
        <v>0</v>
      </c>
      <c r="AG30" s="27">
        <f aca="true" t="shared" si="35" ref="AG30:AG43">IF(AP30="0",BI30,0)</f>
        <v>0</v>
      </c>
      <c r="AH30" s="17"/>
      <c r="AI30" s="26">
        <f aca="true" t="shared" si="36" ref="AI30:AI43">IF(AM30=0,J30,0)</f>
        <v>0</v>
      </c>
      <c r="AJ30" s="26">
        <f aca="true" t="shared" si="37" ref="AJ30:AJ43">IF(AM30=15,J30,0)</f>
        <v>0</v>
      </c>
      <c r="AK30" s="26">
        <f aca="true" t="shared" si="38" ref="AK30:AK43">IF(AM30=21,J30,0)</f>
        <v>0</v>
      </c>
      <c r="AM30" s="27">
        <v>21</v>
      </c>
      <c r="AN30" s="27">
        <f aca="true" t="shared" si="39" ref="AN30:AN41">G30*0</f>
        <v>0</v>
      </c>
      <c r="AO30" s="27">
        <f aca="true" t="shared" si="40" ref="AO30:AO41">G30*(1-0)</f>
        <v>0</v>
      </c>
      <c r="AP30" s="28" t="s">
        <v>13</v>
      </c>
      <c r="AU30" s="27">
        <f aca="true" t="shared" si="41" ref="AU30:AU43">AV30+AW30</f>
        <v>0</v>
      </c>
      <c r="AV30" s="27">
        <f aca="true" t="shared" si="42" ref="AV30:AV43">F30*AN30</f>
        <v>0</v>
      </c>
      <c r="AW30" s="27">
        <f aca="true" t="shared" si="43" ref="AW30:AW43">F30*AO30</f>
        <v>0</v>
      </c>
      <c r="AX30" s="29" t="s">
        <v>785</v>
      </c>
      <c r="AY30" s="29" t="s">
        <v>793</v>
      </c>
      <c r="AZ30" s="17" t="s">
        <v>796</v>
      </c>
      <c r="BB30" s="27">
        <f aca="true" t="shared" si="44" ref="BB30:BB43">AV30+AW30</f>
        <v>0</v>
      </c>
      <c r="BC30" s="27">
        <f aca="true" t="shared" si="45" ref="BC30:BC43">G30/(100-BD30)*100</f>
        <v>0</v>
      </c>
      <c r="BD30" s="27">
        <v>0</v>
      </c>
      <c r="BE30" s="27">
        <f aca="true" t="shared" si="46" ref="BE30:BE43">L30</f>
        <v>0.01638</v>
      </c>
      <c r="BG30" s="26">
        <f aca="true" t="shared" si="47" ref="BG30:BG43">F30*AN30</f>
        <v>0</v>
      </c>
      <c r="BH30" s="26">
        <f aca="true" t="shared" si="48" ref="BH30:BH43">F30*AO30</f>
        <v>0</v>
      </c>
      <c r="BI30" s="26">
        <f aca="true" t="shared" si="49" ref="BI30:BI43">F30*G30</f>
        <v>0</v>
      </c>
    </row>
    <row r="31" spans="1:61" ht="12.75">
      <c r="A31" s="24" t="s">
        <v>23</v>
      </c>
      <c r="B31" s="25"/>
      <c r="C31" s="25" t="s">
        <v>270</v>
      </c>
      <c r="D31" s="25" t="s">
        <v>516</v>
      </c>
      <c r="E31" s="25" t="s">
        <v>753</v>
      </c>
      <c r="F31" s="26">
        <v>1</v>
      </c>
      <c r="G31" s="1">
        <v>0</v>
      </c>
      <c r="H31" s="26">
        <f t="shared" si="24"/>
        <v>0</v>
      </c>
      <c r="I31" s="26">
        <f t="shared" si="25"/>
        <v>0</v>
      </c>
      <c r="J31" s="26">
        <f t="shared" si="26"/>
        <v>0</v>
      </c>
      <c r="K31" s="26">
        <v>0.01638</v>
      </c>
      <c r="L31" s="26">
        <f t="shared" si="27"/>
        <v>0.01638</v>
      </c>
      <c r="Y31" s="27">
        <f t="shared" si="28"/>
        <v>0</v>
      </c>
      <c r="AA31" s="27">
        <f t="shared" si="29"/>
        <v>0</v>
      </c>
      <c r="AB31" s="27">
        <f t="shared" si="30"/>
        <v>0</v>
      </c>
      <c r="AC31" s="27">
        <f t="shared" si="31"/>
        <v>0</v>
      </c>
      <c r="AD31" s="27">
        <f t="shared" si="32"/>
        <v>0</v>
      </c>
      <c r="AE31" s="27">
        <f t="shared" si="33"/>
        <v>0</v>
      </c>
      <c r="AF31" s="27">
        <f t="shared" si="34"/>
        <v>0</v>
      </c>
      <c r="AG31" s="27">
        <f t="shared" si="35"/>
        <v>0</v>
      </c>
      <c r="AH31" s="17"/>
      <c r="AI31" s="26">
        <f t="shared" si="36"/>
        <v>0</v>
      </c>
      <c r="AJ31" s="26">
        <f t="shared" si="37"/>
        <v>0</v>
      </c>
      <c r="AK31" s="26">
        <f t="shared" si="38"/>
        <v>0</v>
      </c>
      <c r="AM31" s="27">
        <v>21</v>
      </c>
      <c r="AN31" s="27">
        <f t="shared" si="39"/>
        <v>0</v>
      </c>
      <c r="AO31" s="27">
        <f t="shared" si="40"/>
        <v>0</v>
      </c>
      <c r="AP31" s="28" t="s">
        <v>13</v>
      </c>
      <c r="AU31" s="27">
        <f t="shared" si="41"/>
        <v>0</v>
      </c>
      <c r="AV31" s="27">
        <f t="shared" si="42"/>
        <v>0</v>
      </c>
      <c r="AW31" s="27">
        <f t="shared" si="43"/>
        <v>0</v>
      </c>
      <c r="AX31" s="29" t="s">
        <v>785</v>
      </c>
      <c r="AY31" s="29" t="s">
        <v>793</v>
      </c>
      <c r="AZ31" s="17" t="s">
        <v>796</v>
      </c>
      <c r="BB31" s="27">
        <f t="shared" si="44"/>
        <v>0</v>
      </c>
      <c r="BC31" s="27">
        <f t="shared" si="45"/>
        <v>0</v>
      </c>
      <c r="BD31" s="27">
        <v>0</v>
      </c>
      <c r="BE31" s="27">
        <f t="shared" si="46"/>
        <v>0.01638</v>
      </c>
      <c r="BG31" s="26">
        <f t="shared" si="47"/>
        <v>0</v>
      </c>
      <c r="BH31" s="26">
        <f t="shared" si="48"/>
        <v>0</v>
      </c>
      <c r="BI31" s="26">
        <f t="shared" si="49"/>
        <v>0</v>
      </c>
    </row>
    <row r="32" spans="1:61" ht="12.75">
      <c r="A32" s="24" t="s">
        <v>24</v>
      </c>
      <c r="B32" s="25"/>
      <c r="C32" s="25" t="s">
        <v>271</v>
      </c>
      <c r="D32" s="25" t="s">
        <v>517</v>
      </c>
      <c r="E32" s="25" t="s">
        <v>753</v>
      </c>
      <c r="F32" s="26">
        <v>1</v>
      </c>
      <c r="G32" s="1">
        <v>0</v>
      </c>
      <c r="H32" s="26">
        <f t="shared" si="24"/>
        <v>0</v>
      </c>
      <c r="I32" s="26">
        <f t="shared" si="25"/>
        <v>0</v>
      </c>
      <c r="J32" s="26">
        <f t="shared" si="26"/>
        <v>0</v>
      </c>
      <c r="K32" s="26">
        <v>0.01638</v>
      </c>
      <c r="L32" s="26">
        <f t="shared" si="27"/>
        <v>0.01638</v>
      </c>
      <c r="Y32" s="27">
        <f t="shared" si="28"/>
        <v>0</v>
      </c>
      <c r="AA32" s="27">
        <f t="shared" si="29"/>
        <v>0</v>
      </c>
      <c r="AB32" s="27">
        <f t="shared" si="30"/>
        <v>0</v>
      </c>
      <c r="AC32" s="27">
        <f t="shared" si="31"/>
        <v>0</v>
      </c>
      <c r="AD32" s="27">
        <f t="shared" si="32"/>
        <v>0</v>
      </c>
      <c r="AE32" s="27">
        <f t="shared" si="33"/>
        <v>0</v>
      </c>
      <c r="AF32" s="27">
        <f t="shared" si="34"/>
        <v>0</v>
      </c>
      <c r="AG32" s="27">
        <f t="shared" si="35"/>
        <v>0</v>
      </c>
      <c r="AH32" s="17"/>
      <c r="AI32" s="26">
        <f t="shared" si="36"/>
        <v>0</v>
      </c>
      <c r="AJ32" s="26">
        <f t="shared" si="37"/>
        <v>0</v>
      </c>
      <c r="AK32" s="26">
        <f t="shared" si="38"/>
        <v>0</v>
      </c>
      <c r="AM32" s="27">
        <v>21</v>
      </c>
      <c r="AN32" s="27">
        <f t="shared" si="39"/>
        <v>0</v>
      </c>
      <c r="AO32" s="27">
        <f t="shared" si="40"/>
        <v>0</v>
      </c>
      <c r="AP32" s="28" t="s">
        <v>13</v>
      </c>
      <c r="AU32" s="27">
        <f t="shared" si="41"/>
        <v>0</v>
      </c>
      <c r="AV32" s="27">
        <f t="shared" si="42"/>
        <v>0</v>
      </c>
      <c r="AW32" s="27">
        <f t="shared" si="43"/>
        <v>0</v>
      </c>
      <c r="AX32" s="29" t="s">
        <v>785</v>
      </c>
      <c r="AY32" s="29" t="s">
        <v>793</v>
      </c>
      <c r="AZ32" s="17" t="s">
        <v>796</v>
      </c>
      <c r="BB32" s="27">
        <f t="shared" si="44"/>
        <v>0</v>
      </c>
      <c r="BC32" s="27">
        <f t="shared" si="45"/>
        <v>0</v>
      </c>
      <c r="BD32" s="27">
        <v>0</v>
      </c>
      <c r="BE32" s="27">
        <f t="shared" si="46"/>
        <v>0.01638</v>
      </c>
      <c r="BG32" s="26">
        <f t="shared" si="47"/>
        <v>0</v>
      </c>
      <c r="BH32" s="26">
        <f t="shared" si="48"/>
        <v>0</v>
      </c>
      <c r="BI32" s="26">
        <f t="shared" si="49"/>
        <v>0</v>
      </c>
    </row>
    <row r="33" spans="1:61" ht="12.75">
      <c r="A33" s="24" t="s">
        <v>25</v>
      </c>
      <c r="B33" s="25"/>
      <c r="C33" s="25" t="s">
        <v>272</v>
      </c>
      <c r="D33" s="25" t="s">
        <v>518</v>
      </c>
      <c r="E33" s="25" t="s">
        <v>753</v>
      </c>
      <c r="F33" s="26">
        <v>1</v>
      </c>
      <c r="G33" s="1">
        <v>0</v>
      </c>
      <c r="H33" s="26">
        <f t="shared" si="24"/>
        <v>0</v>
      </c>
      <c r="I33" s="26">
        <f t="shared" si="25"/>
        <v>0</v>
      </c>
      <c r="J33" s="26">
        <f t="shared" si="26"/>
        <v>0</v>
      </c>
      <c r="K33" s="26">
        <v>0.01638</v>
      </c>
      <c r="L33" s="26">
        <f t="shared" si="27"/>
        <v>0.01638</v>
      </c>
      <c r="Y33" s="27">
        <f t="shared" si="28"/>
        <v>0</v>
      </c>
      <c r="AA33" s="27">
        <f t="shared" si="29"/>
        <v>0</v>
      </c>
      <c r="AB33" s="27">
        <f t="shared" si="30"/>
        <v>0</v>
      </c>
      <c r="AC33" s="27">
        <f t="shared" si="31"/>
        <v>0</v>
      </c>
      <c r="AD33" s="27">
        <f t="shared" si="32"/>
        <v>0</v>
      </c>
      <c r="AE33" s="27">
        <f t="shared" si="33"/>
        <v>0</v>
      </c>
      <c r="AF33" s="27">
        <f t="shared" si="34"/>
        <v>0</v>
      </c>
      <c r="AG33" s="27">
        <f t="shared" si="35"/>
        <v>0</v>
      </c>
      <c r="AH33" s="17"/>
      <c r="AI33" s="26">
        <f t="shared" si="36"/>
        <v>0</v>
      </c>
      <c r="AJ33" s="26">
        <f t="shared" si="37"/>
        <v>0</v>
      </c>
      <c r="AK33" s="26">
        <f t="shared" si="38"/>
        <v>0</v>
      </c>
      <c r="AM33" s="27">
        <v>21</v>
      </c>
      <c r="AN33" s="27">
        <f t="shared" si="39"/>
        <v>0</v>
      </c>
      <c r="AO33" s="27">
        <f t="shared" si="40"/>
        <v>0</v>
      </c>
      <c r="AP33" s="28" t="s">
        <v>13</v>
      </c>
      <c r="AU33" s="27">
        <f t="shared" si="41"/>
        <v>0</v>
      </c>
      <c r="AV33" s="27">
        <f t="shared" si="42"/>
        <v>0</v>
      </c>
      <c r="AW33" s="27">
        <f t="shared" si="43"/>
        <v>0</v>
      </c>
      <c r="AX33" s="29" t="s">
        <v>785</v>
      </c>
      <c r="AY33" s="29" t="s">
        <v>793</v>
      </c>
      <c r="AZ33" s="17" t="s">
        <v>796</v>
      </c>
      <c r="BB33" s="27">
        <f t="shared" si="44"/>
        <v>0</v>
      </c>
      <c r="BC33" s="27">
        <f t="shared" si="45"/>
        <v>0</v>
      </c>
      <c r="BD33" s="27">
        <v>0</v>
      </c>
      <c r="BE33" s="27">
        <f t="shared" si="46"/>
        <v>0.01638</v>
      </c>
      <c r="BG33" s="26">
        <f t="shared" si="47"/>
        <v>0</v>
      </c>
      <c r="BH33" s="26">
        <f t="shared" si="48"/>
        <v>0</v>
      </c>
      <c r="BI33" s="26">
        <f t="shared" si="49"/>
        <v>0</v>
      </c>
    </row>
    <row r="34" spans="1:61" ht="12.75">
      <c r="A34" s="24" t="s">
        <v>26</v>
      </c>
      <c r="B34" s="25"/>
      <c r="C34" s="25" t="s">
        <v>273</v>
      </c>
      <c r="D34" s="25" t="s">
        <v>519</v>
      </c>
      <c r="E34" s="25" t="s">
        <v>753</v>
      </c>
      <c r="F34" s="26">
        <v>1</v>
      </c>
      <c r="G34" s="1">
        <v>0</v>
      </c>
      <c r="H34" s="26">
        <f t="shared" si="24"/>
        <v>0</v>
      </c>
      <c r="I34" s="26">
        <f t="shared" si="25"/>
        <v>0</v>
      </c>
      <c r="J34" s="26">
        <f t="shared" si="26"/>
        <v>0</v>
      </c>
      <c r="K34" s="26">
        <v>0.01638</v>
      </c>
      <c r="L34" s="26">
        <f t="shared" si="27"/>
        <v>0.01638</v>
      </c>
      <c r="Y34" s="27">
        <f t="shared" si="28"/>
        <v>0</v>
      </c>
      <c r="AA34" s="27">
        <f t="shared" si="29"/>
        <v>0</v>
      </c>
      <c r="AB34" s="27">
        <f t="shared" si="30"/>
        <v>0</v>
      </c>
      <c r="AC34" s="27">
        <f t="shared" si="31"/>
        <v>0</v>
      </c>
      <c r="AD34" s="27">
        <f t="shared" si="32"/>
        <v>0</v>
      </c>
      <c r="AE34" s="27">
        <f t="shared" si="33"/>
        <v>0</v>
      </c>
      <c r="AF34" s="27">
        <f t="shared" si="34"/>
        <v>0</v>
      </c>
      <c r="AG34" s="27">
        <f t="shared" si="35"/>
        <v>0</v>
      </c>
      <c r="AH34" s="17"/>
      <c r="AI34" s="26">
        <f t="shared" si="36"/>
        <v>0</v>
      </c>
      <c r="AJ34" s="26">
        <f t="shared" si="37"/>
        <v>0</v>
      </c>
      <c r="AK34" s="26">
        <f t="shared" si="38"/>
        <v>0</v>
      </c>
      <c r="AM34" s="27">
        <v>21</v>
      </c>
      <c r="AN34" s="27">
        <f t="shared" si="39"/>
        <v>0</v>
      </c>
      <c r="AO34" s="27">
        <f t="shared" si="40"/>
        <v>0</v>
      </c>
      <c r="AP34" s="28" t="s">
        <v>13</v>
      </c>
      <c r="AU34" s="27">
        <f t="shared" si="41"/>
        <v>0</v>
      </c>
      <c r="AV34" s="27">
        <f t="shared" si="42"/>
        <v>0</v>
      </c>
      <c r="AW34" s="27">
        <f t="shared" si="43"/>
        <v>0</v>
      </c>
      <c r="AX34" s="29" t="s">
        <v>785</v>
      </c>
      <c r="AY34" s="29" t="s">
        <v>793</v>
      </c>
      <c r="AZ34" s="17" t="s">
        <v>796</v>
      </c>
      <c r="BB34" s="27">
        <f t="shared" si="44"/>
        <v>0</v>
      </c>
      <c r="BC34" s="27">
        <f t="shared" si="45"/>
        <v>0</v>
      </c>
      <c r="BD34" s="27">
        <v>0</v>
      </c>
      <c r="BE34" s="27">
        <f t="shared" si="46"/>
        <v>0.01638</v>
      </c>
      <c r="BG34" s="26">
        <f t="shared" si="47"/>
        <v>0</v>
      </c>
      <c r="BH34" s="26">
        <f t="shared" si="48"/>
        <v>0</v>
      </c>
      <c r="BI34" s="26">
        <f t="shared" si="49"/>
        <v>0</v>
      </c>
    </row>
    <row r="35" spans="1:61" ht="12.75">
      <c r="A35" s="24" t="s">
        <v>27</v>
      </c>
      <c r="B35" s="25"/>
      <c r="C35" s="25" t="s">
        <v>274</v>
      </c>
      <c r="D35" s="25" t="s">
        <v>520</v>
      </c>
      <c r="E35" s="25" t="s">
        <v>753</v>
      </c>
      <c r="F35" s="26">
        <v>1</v>
      </c>
      <c r="G35" s="1">
        <v>0</v>
      </c>
      <c r="H35" s="26">
        <f t="shared" si="24"/>
        <v>0</v>
      </c>
      <c r="I35" s="26">
        <f t="shared" si="25"/>
        <v>0</v>
      </c>
      <c r="J35" s="26">
        <f t="shared" si="26"/>
        <v>0</v>
      </c>
      <c r="K35" s="26">
        <v>0.01638</v>
      </c>
      <c r="L35" s="26">
        <f t="shared" si="27"/>
        <v>0.01638</v>
      </c>
      <c r="Y35" s="27">
        <f t="shared" si="28"/>
        <v>0</v>
      </c>
      <c r="AA35" s="27">
        <f t="shared" si="29"/>
        <v>0</v>
      </c>
      <c r="AB35" s="27">
        <f t="shared" si="30"/>
        <v>0</v>
      </c>
      <c r="AC35" s="27">
        <f t="shared" si="31"/>
        <v>0</v>
      </c>
      <c r="AD35" s="27">
        <f t="shared" si="32"/>
        <v>0</v>
      </c>
      <c r="AE35" s="27">
        <f t="shared" si="33"/>
        <v>0</v>
      </c>
      <c r="AF35" s="27">
        <f t="shared" si="34"/>
        <v>0</v>
      </c>
      <c r="AG35" s="27">
        <f t="shared" si="35"/>
        <v>0</v>
      </c>
      <c r="AH35" s="17"/>
      <c r="AI35" s="26">
        <f t="shared" si="36"/>
        <v>0</v>
      </c>
      <c r="AJ35" s="26">
        <f t="shared" si="37"/>
        <v>0</v>
      </c>
      <c r="AK35" s="26">
        <f t="shared" si="38"/>
        <v>0</v>
      </c>
      <c r="AM35" s="27">
        <v>21</v>
      </c>
      <c r="AN35" s="27">
        <f t="shared" si="39"/>
        <v>0</v>
      </c>
      <c r="AO35" s="27">
        <f t="shared" si="40"/>
        <v>0</v>
      </c>
      <c r="AP35" s="28" t="s">
        <v>13</v>
      </c>
      <c r="AU35" s="27">
        <f t="shared" si="41"/>
        <v>0</v>
      </c>
      <c r="AV35" s="27">
        <f t="shared" si="42"/>
        <v>0</v>
      </c>
      <c r="AW35" s="27">
        <f t="shared" si="43"/>
        <v>0</v>
      </c>
      <c r="AX35" s="29" t="s">
        <v>785</v>
      </c>
      <c r="AY35" s="29" t="s">
        <v>793</v>
      </c>
      <c r="AZ35" s="17" t="s">
        <v>796</v>
      </c>
      <c r="BB35" s="27">
        <f t="shared" si="44"/>
        <v>0</v>
      </c>
      <c r="BC35" s="27">
        <f t="shared" si="45"/>
        <v>0</v>
      </c>
      <c r="BD35" s="27">
        <v>0</v>
      </c>
      <c r="BE35" s="27">
        <f t="shared" si="46"/>
        <v>0.01638</v>
      </c>
      <c r="BG35" s="26">
        <f t="shared" si="47"/>
        <v>0</v>
      </c>
      <c r="BH35" s="26">
        <f t="shared" si="48"/>
        <v>0</v>
      </c>
      <c r="BI35" s="26">
        <f t="shared" si="49"/>
        <v>0</v>
      </c>
    </row>
    <row r="36" spans="1:61" ht="12.75">
      <c r="A36" s="24" t="s">
        <v>28</v>
      </c>
      <c r="B36" s="25"/>
      <c r="C36" s="25" t="s">
        <v>275</v>
      </c>
      <c r="D36" s="25" t="s">
        <v>521</v>
      </c>
      <c r="E36" s="25" t="s">
        <v>753</v>
      </c>
      <c r="F36" s="26">
        <v>1</v>
      </c>
      <c r="G36" s="1">
        <v>0</v>
      </c>
      <c r="H36" s="26">
        <f t="shared" si="24"/>
        <v>0</v>
      </c>
      <c r="I36" s="26">
        <f t="shared" si="25"/>
        <v>0</v>
      </c>
      <c r="J36" s="26">
        <f t="shared" si="26"/>
        <v>0</v>
      </c>
      <c r="K36" s="26">
        <v>0.01638</v>
      </c>
      <c r="L36" s="26">
        <f t="shared" si="27"/>
        <v>0.01638</v>
      </c>
      <c r="Y36" s="27">
        <f t="shared" si="28"/>
        <v>0</v>
      </c>
      <c r="AA36" s="27">
        <f t="shared" si="29"/>
        <v>0</v>
      </c>
      <c r="AB36" s="27">
        <f t="shared" si="30"/>
        <v>0</v>
      </c>
      <c r="AC36" s="27">
        <f t="shared" si="31"/>
        <v>0</v>
      </c>
      <c r="AD36" s="27">
        <f t="shared" si="32"/>
        <v>0</v>
      </c>
      <c r="AE36" s="27">
        <f t="shared" si="33"/>
        <v>0</v>
      </c>
      <c r="AF36" s="27">
        <f t="shared" si="34"/>
        <v>0</v>
      </c>
      <c r="AG36" s="27">
        <f t="shared" si="35"/>
        <v>0</v>
      </c>
      <c r="AH36" s="17"/>
      <c r="AI36" s="26">
        <f t="shared" si="36"/>
        <v>0</v>
      </c>
      <c r="AJ36" s="26">
        <f t="shared" si="37"/>
        <v>0</v>
      </c>
      <c r="AK36" s="26">
        <f t="shared" si="38"/>
        <v>0</v>
      </c>
      <c r="AM36" s="27">
        <v>21</v>
      </c>
      <c r="AN36" s="27">
        <f t="shared" si="39"/>
        <v>0</v>
      </c>
      <c r="AO36" s="27">
        <f t="shared" si="40"/>
        <v>0</v>
      </c>
      <c r="AP36" s="28" t="s">
        <v>13</v>
      </c>
      <c r="AU36" s="27">
        <f t="shared" si="41"/>
        <v>0</v>
      </c>
      <c r="AV36" s="27">
        <f t="shared" si="42"/>
        <v>0</v>
      </c>
      <c r="AW36" s="27">
        <f t="shared" si="43"/>
        <v>0</v>
      </c>
      <c r="AX36" s="29" t="s">
        <v>785</v>
      </c>
      <c r="AY36" s="29" t="s">
        <v>793</v>
      </c>
      <c r="AZ36" s="17" t="s">
        <v>796</v>
      </c>
      <c r="BB36" s="27">
        <f t="shared" si="44"/>
        <v>0</v>
      </c>
      <c r="BC36" s="27">
        <f t="shared" si="45"/>
        <v>0</v>
      </c>
      <c r="BD36" s="27">
        <v>0</v>
      </c>
      <c r="BE36" s="27">
        <f t="shared" si="46"/>
        <v>0.01638</v>
      </c>
      <c r="BG36" s="26">
        <f t="shared" si="47"/>
        <v>0</v>
      </c>
      <c r="BH36" s="26">
        <f t="shared" si="48"/>
        <v>0</v>
      </c>
      <c r="BI36" s="26">
        <f t="shared" si="49"/>
        <v>0</v>
      </c>
    </row>
    <row r="37" spans="1:61" ht="12.75">
      <c r="A37" s="24" t="s">
        <v>29</v>
      </c>
      <c r="B37" s="25"/>
      <c r="C37" s="25" t="s">
        <v>276</v>
      </c>
      <c r="D37" s="25" t="s">
        <v>522</v>
      </c>
      <c r="E37" s="25" t="s">
        <v>753</v>
      </c>
      <c r="F37" s="26">
        <v>1</v>
      </c>
      <c r="G37" s="1">
        <v>0</v>
      </c>
      <c r="H37" s="26">
        <f t="shared" si="24"/>
        <v>0</v>
      </c>
      <c r="I37" s="26">
        <f t="shared" si="25"/>
        <v>0</v>
      </c>
      <c r="J37" s="26">
        <f t="shared" si="26"/>
        <v>0</v>
      </c>
      <c r="K37" s="26">
        <v>0.01638</v>
      </c>
      <c r="L37" s="26">
        <f t="shared" si="27"/>
        <v>0.01638</v>
      </c>
      <c r="Y37" s="27">
        <f t="shared" si="28"/>
        <v>0</v>
      </c>
      <c r="AA37" s="27">
        <f t="shared" si="29"/>
        <v>0</v>
      </c>
      <c r="AB37" s="27">
        <f t="shared" si="30"/>
        <v>0</v>
      </c>
      <c r="AC37" s="27">
        <f t="shared" si="31"/>
        <v>0</v>
      </c>
      <c r="AD37" s="27">
        <f t="shared" si="32"/>
        <v>0</v>
      </c>
      <c r="AE37" s="27">
        <f t="shared" si="33"/>
        <v>0</v>
      </c>
      <c r="AF37" s="27">
        <f t="shared" si="34"/>
        <v>0</v>
      </c>
      <c r="AG37" s="27">
        <f t="shared" si="35"/>
        <v>0</v>
      </c>
      <c r="AH37" s="17"/>
      <c r="AI37" s="26">
        <f t="shared" si="36"/>
        <v>0</v>
      </c>
      <c r="AJ37" s="26">
        <f t="shared" si="37"/>
        <v>0</v>
      </c>
      <c r="AK37" s="26">
        <f t="shared" si="38"/>
        <v>0</v>
      </c>
      <c r="AM37" s="27">
        <v>21</v>
      </c>
      <c r="AN37" s="27">
        <f t="shared" si="39"/>
        <v>0</v>
      </c>
      <c r="AO37" s="27">
        <f t="shared" si="40"/>
        <v>0</v>
      </c>
      <c r="AP37" s="28" t="s">
        <v>13</v>
      </c>
      <c r="AU37" s="27">
        <f t="shared" si="41"/>
        <v>0</v>
      </c>
      <c r="AV37" s="27">
        <f t="shared" si="42"/>
        <v>0</v>
      </c>
      <c r="AW37" s="27">
        <f t="shared" si="43"/>
        <v>0</v>
      </c>
      <c r="AX37" s="29" t="s">
        <v>785</v>
      </c>
      <c r="AY37" s="29" t="s">
        <v>793</v>
      </c>
      <c r="AZ37" s="17" t="s">
        <v>796</v>
      </c>
      <c r="BB37" s="27">
        <f t="shared" si="44"/>
        <v>0</v>
      </c>
      <c r="BC37" s="27">
        <f t="shared" si="45"/>
        <v>0</v>
      </c>
      <c r="BD37" s="27">
        <v>0</v>
      </c>
      <c r="BE37" s="27">
        <f t="shared" si="46"/>
        <v>0.01638</v>
      </c>
      <c r="BG37" s="26">
        <f t="shared" si="47"/>
        <v>0</v>
      </c>
      <c r="BH37" s="26">
        <f t="shared" si="48"/>
        <v>0</v>
      </c>
      <c r="BI37" s="26">
        <f t="shared" si="49"/>
        <v>0</v>
      </c>
    </row>
    <row r="38" spans="1:61" ht="12.75">
      <c r="A38" s="24" t="s">
        <v>30</v>
      </c>
      <c r="B38" s="25"/>
      <c r="C38" s="25" t="s">
        <v>277</v>
      </c>
      <c r="D38" s="25" t="s">
        <v>523</v>
      </c>
      <c r="E38" s="25" t="s">
        <v>753</v>
      </c>
      <c r="F38" s="26">
        <v>1</v>
      </c>
      <c r="G38" s="1">
        <v>0</v>
      </c>
      <c r="H38" s="26">
        <f t="shared" si="24"/>
        <v>0</v>
      </c>
      <c r="I38" s="26">
        <f t="shared" si="25"/>
        <v>0</v>
      </c>
      <c r="J38" s="26">
        <f t="shared" si="26"/>
        <v>0</v>
      </c>
      <c r="K38" s="26">
        <v>0.01638</v>
      </c>
      <c r="L38" s="26">
        <f t="shared" si="27"/>
        <v>0.01638</v>
      </c>
      <c r="Y38" s="27">
        <f t="shared" si="28"/>
        <v>0</v>
      </c>
      <c r="AA38" s="27">
        <f t="shared" si="29"/>
        <v>0</v>
      </c>
      <c r="AB38" s="27">
        <f t="shared" si="30"/>
        <v>0</v>
      </c>
      <c r="AC38" s="27">
        <f t="shared" si="31"/>
        <v>0</v>
      </c>
      <c r="AD38" s="27">
        <f t="shared" si="32"/>
        <v>0</v>
      </c>
      <c r="AE38" s="27">
        <f t="shared" si="33"/>
        <v>0</v>
      </c>
      <c r="AF38" s="27">
        <f t="shared" si="34"/>
        <v>0</v>
      </c>
      <c r="AG38" s="27">
        <f t="shared" si="35"/>
        <v>0</v>
      </c>
      <c r="AH38" s="17"/>
      <c r="AI38" s="26">
        <f t="shared" si="36"/>
        <v>0</v>
      </c>
      <c r="AJ38" s="26">
        <f t="shared" si="37"/>
        <v>0</v>
      </c>
      <c r="AK38" s="26">
        <f t="shared" si="38"/>
        <v>0</v>
      </c>
      <c r="AM38" s="27">
        <v>21</v>
      </c>
      <c r="AN38" s="27">
        <f t="shared" si="39"/>
        <v>0</v>
      </c>
      <c r="AO38" s="27">
        <f t="shared" si="40"/>
        <v>0</v>
      </c>
      <c r="AP38" s="28" t="s">
        <v>13</v>
      </c>
      <c r="AU38" s="27">
        <f t="shared" si="41"/>
        <v>0</v>
      </c>
      <c r="AV38" s="27">
        <f t="shared" si="42"/>
        <v>0</v>
      </c>
      <c r="AW38" s="27">
        <f t="shared" si="43"/>
        <v>0</v>
      </c>
      <c r="AX38" s="29" t="s">
        <v>785</v>
      </c>
      <c r="AY38" s="29" t="s">
        <v>793</v>
      </c>
      <c r="AZ38" s="17" t="s">
        <v>796</v>
      </c>
      <c r="BB38" s="27">
        <f t="shared" si="44"/>
        <v>0</v>
      </c>
      <c r="BC38" s="27">
        <f t="shared" si="45"/>
        <v>0</v>
      </c>
      <c r="BD38" s="27">
        <v>0</v>
      </c>
      <c r="BE38" s="27">
        <f t="shared" si="46"/>
        <v>0.01638</v>
      </c>
      <c r="BG38" s="26">
        <f t="shared" si="47"/>
        <v>0</v>
      </c>
      <c r="BH38" s="26">
        <f t="shared" si="48"/>
        <v>0</v>
      </c>
      <c r="BI38" s="26">
        <f t="shared" si="49"/>
        <v>0</v>
      </c>
    </row>
    <row r="39" spans="1:61" ht="12.75">
      <c r="A39" s="24" t="s">
        <v>31</v>
      </c>
      <c r="B39" s="25"/>
      <c r="C39" s="25" t="s">
        <v>278</v>
      </c>
      <c r="D39" s="25" t="s">
        <v>524</v>
      </c>
      <c r="E39" s="25" t="s">
        <v>753</v>
      </c>
      <c r="F39" s="26">
        <v>1</v>
      </c>
      <c r="G39" s="1">
        <v>0</v>
      </c>
      <c r="H39" s="26">
        <f t="shared" si="24"/>
        <v>0</v>
      </c>
      <c r="I39" s="26">
        <f t="shared" si="25"/>
        <v>0</v>
      </c>
      <c r="J39" s="26">
        <f t="shared" si="26"/>
        <v>0</v>
      </c>
      <c r="K39" s="26">
        <v>0.01638</v>
      </c>
      <c r="L39" s="26">
        <f t="shared" si="27"/>
        <v>0.01638</v>
      </c>
      <c r="Y39" s="27">
        <f t="shared" si="28"/>
        <v>0</v>
      </c>
      <c r="AA39" s="27">
        <f t="shared" si="29"/>
        <v>0</v>
      </c>
      <c r="AB39" s="27">
        <f t="shared" si="30"/>
        <v>0</v>
      </c>
      <c r="AC39" s="27">
        <f t="shared" si="31"/>
        <v>0</v>
      </c>
      <c r="AD39" s="27">
        <f t="shared" si="32"/>
        <v>0</v>
      </c>
      <c r="AE39" s="27">
        <f t="shared" si="33"/>
        <v>0</v>
      </c>
      <c r="AF39" s="27">
        <f t="shared" si="34"/>
        <v>0</v>
      </c>
      <c r="AG39" s="27">
        <f t="shared" si="35"/>
        <v>0</v>
      </c>
      <c r="AH39" s="17"/>
      <c r="AI39" s="26">
        <f t="shared" si="36"/>
        <v>0</v>
      </c>
      <c r="AJ39" s="26">
        <f t="shared" si="37"/>
        <v>0</v>
      </c>
      <c r="AK39" s="26">
        <f t="shared" si="38"/>
        <v>0</v>
      </c>
      <c r="AM39" s="27">
        <v>21</v>
      </c>
      <c r="AN39" s="27">
        <f t="shared" si="39"/>
        <v>0</v>
      </c>
      <c r="AO39" s="27">
        <f t="shared" si="40"/>
        <v>0</v>
      </c>
      <c r="AP39" s="28" t="s">
        <v>13</v>
      </c>
      <c r="AU39" s="27">
        <f t="shared" si="41"/>
        <v>0</v>
      </c>
      <c r="AV39" s="27">
        <f t="shared" si="42"/>
        <v>0</v>
      </c>
      <c r="AW39" s="27">
        <f t="shared" si="43"/>
        <v>0</v>
      </c>
      <c r="AX39" s="29" t="s">
        <v>785</v>
      </c>
      <c r="AY39" s="29" t="s">
        <v>793</v>
      </c>
      <c r="AZ39" s="17" t="s">
        <v>796</v>
      </c>
      <c r="BB39" s="27">
        <f t="shared" si="44"/>
        <v>0</v>
      </c>
      <c r="BC39" s="27">
        <f t="shared" si="45"/>
        <v>0</v>
      </c>
      <c r="BD39" s="27">
        <v>0</v>
      </c>
      <c r="BE39" s="27">
        <f t="shared" si="46"/>
        <v>0.01638</v>
      </c>
      <c r="BG39" s="26">
        <f t="shared" si="47"/>
        <v>0</v>
      </c>
      <c r="BH39" s="26">
        <f t="shared" si="48"/>
        <v>0</v>
      </c>
      <c r="BI39" s="26">
        <f t="shared" si="49"/>
        <v>0</v>
      </c>
    </row>
    <row r="40" spans="1:61" ht="12.75">
      <c r="A40" s="24" t="s">
        <v>32</v>
      </c>
      <c r="B40" s="25"/>
      <c r="C40" s="25" t="s">
        <v>279</v>
      </c>
      <c r="D40" s="25" t="s">
        <v>525</v>
      </c>
      <c r="E40" s="25" t="s">
        <v>753</v>
      </c>
      <c r="F40" s="26">
        <v>1</v>
      </c>
      <c r="G40" s="1">
        <v>0</v>
      </c>
      <c r="H40" s="26">
        <f t="shared" si="24"/>
        <v>0</v>
      </c>
      <c r="I40" s="26">
        <f t="shared" si="25"/>
        <v>0</v>
      </c>
      <c r="J40" s="26">
        <f t="shared" si="26"/>
        <v>0</v>
      </c>
      <c r="K40" s="26">
        <v>0.01638</v>
      </c>
      <c r="L40" s="26">
        <f t="shared" si="27"/>
        <v>0.01638</v>
      </c>
      <c r="Y40" s="27">
        <f t="shared" si="28"/>
        <v>0</v>
      </c>
      <c r="AA40" s="27">
        <f t="shared" si="29"/>
        <v>0</v>
      </c>
      <c r="AB40" s="27">
        <f t="shared" si="30"/>
        <v>0</v>
      </c>
      <c r="AC40" s="27">
        <f t="shared" si="31"/>
        <v>0</v>
      </c>
      <c r="AD40" s="27">
        <f t="shared" si="32"/>
        <v>0</v>
      </c>
      <c r="AE40" s="27">
        <f t="shared" si="33"/>
        <v>0</v>
      </c>
      <c r="AF40" s="27">
        <f t="shared" si="34"/>
        <v>0</v>
      </c>
      <c r="AG40" s="27">
        <f t="shared" si="35"/>
        <v>0</v>
      </c>
      <c r="AH40" s="17"/>
      <c r="AI40" s="26">
        <f t="shared" si="36"/>
        <v>0</v>
      </c>
      <c r="AJ40" s="26">
        <f t="shared" si="37"/>
        <v>0</v>
      </c>
      <c r="AK40" s="26">
        <f t="shared" si="38"/>
        <v>0</v>
      </c>
      <c r="AM40" s="27">
        <v>21</v>
      </c>
      <c r="AN40" s="27">
        <f t="shared" si="39"/>
        <v>0</v>
      </c>
      <c r="AO40" s="27">
        <f t="shared" si="40"/>
        <v>0</v>
      </c>
      <c r="AP40" s="28" t="s">
        <v>13</v>
      </c>
      <c r="AU40" s="27">
        <f t="shared" si="41"/>
        <v>0</v>
      </c>
      <c r="AV40" s="27">
        <f t="shared" si="42"/>
        <v>0</v>
      </c>
      <c r="AW40" s="27">
        <f t="shared" si="43"/>
        <v>0</v>
      </c>
      <c r="AX40" s="29" t="s">
        <v>785</v>
      </c>
      <c r="AY40" s="29" t="s">
        <v>793</v>
      </c>
      <c r="AZ40" s="17" t="s">
        <v>796</v>
      </c>
      <c r="BB40" s="27">
        <f t="shared" si="44"/>
        <v>0</v>
      </c>
      <c r="BC40" s="27">
        <f t="shared" si="45"/>
        <v>0</v>
      </c>
      <c r="BD40" s="27">
        <v>0</v>
      </c>
      <c r="BE40" s="27">
        <f t="shared" si="46"/>
        <v>0.01638</v>
      </c>
      <c r="BG40" s="26">
        <f t="shared" si="47"/>
        <v>0</v>
      </c>
      <c r="BH40" s="26">
        <f t="shared" si="48"/>
        <v>0</v>
      </c>
      <c r="BI40" s="26">
        <f t="shared" si="49"/>
        <v>0</v>
      </c>
    </row>
    <row r="41" spans="1:61" ht="12.75">
      <c r="A41" s="24" t="s">
        <v>33</v>
      </c>
      <c r="B41" s="25"/>
      <c r="C41" s="25" t="s">
        <v>280</v>
      </c>
      <c r="D41" s="25" t="s">
        <v>526</v>
      </c>
      <c r="E41" s="25" t="s">
        <v>753</v>
      </c>
      <c r="F41" s="26">
        <v>1</v>
      </c>
      <c r="G41" s="1">
        <v>0</v>
      </c>
      <c r="H41" s="26">
        <f t="shared" si="24"/>
        <v>0</v>
      </c>
      <c r="I41" s="26">
        <f t="shared" si="25"/>
        <v>0</v>
      </c>
      <c r="J41" s="26">
        <f t="shared" si="26"/>
        <v>0</v>
      </c>
      <c r="K41" s="26">
        <v>0.01638</v>
      </c>
      <c r="L41" s="26">
        <f t="shared" si="27"/>
        <v>0.01638</v>
      </c>
      <c r="Y41" s="27">
        <f t="shared" si="28"/>
        <v>0</v>
      </c>
      <c r="AA41" s="27">
        <f t="shared" si="29"/>
        <v>0</v>
      </c>
      <c r="AB41" s="27">
        <f t="shared" si="30"/>
        <v>0</v>
      </c>
      <c r="AC41" s="27">
        <f t="shared" si="31"/>
        <v>0</v>
      </c>
      <c r="AD41" s="27">
        <f t="shared" si="32"/>
        <v>0</v>
      </c>
      <c r="AE41" s="27">
        <f t="shared" si="33"/>
        <v>0</v>
      </c>
      <c r="AF41" s="27">
        <f t="shared" si="34"/>
        <v>0</v>
      </c>
      <c r="AG41" s="27">
        <f t="shared" si="35"/>
        <v>0</v>
      </c>
      <c r="AH41" s="17"/>
      <c r="AI41" s="26">
        <f t="shared" si="36"/>
        <v>0</v>
      </c>
      <c r="AJ41" s="26">
        <f t="shared" si="37"/>
        <v>0</v>
      </c>
      <c r="AK41" s="26">
        <f t="shared" si="38"/>
        <v>0</v>
      </c>
      <c r="AM41" s="27">
        <v>21</v>
      </c>
      <c r="AN41" s="27">
        <f t="shared" si="39"/>
        <v>0</v>
      </c>
      <c r="AO41" s="27">
        <f t="shared" si="40"/>
        <v>0</v>
      </c>
      <c r="AP41" s="28" t="s">
        <v>13</v>
      </c>
      <c r="AU41" s="27">
        <f t="shared" si="41"/>
        <v>0</v>
      </c>
      <c r="AV41" s="27">
        <f t="shared" si="42"/>
        <v>0</v>
      </c>
      <c r="AW41" s="27">
        <f t="shared" si="43"/>
        <v>0</v>
      </c>
      <c r="AX41" s="29" t="s">
        <v>785</v>
      </c>
      <c r="AY41" s="29" t="s">
        <v>793</v>
      </c>
      <c r="AZ41" s="17" t="s">
        <v>796</v>
      </c>
      <c r="BB41" s="27">
        <f t="shared" si="44"/>
        <v>0</v>
      </c>
      <c r="BC41" s="27">
        <f t="shared" si="45"/>
        <v>0</v>
      </c>
      <c r="BD41" s="27">
        <v>0</v>
      </c>
      <c r="BE41" s="27">
        <f t="shared" si="46"/>
        <v>0.01638</v>
      </c>
      <c r="BG41" s="26">
        <f t="shared" si="47"/>
        <v>0</v>
      </c>
      <c r="BH41" s="26">
        <f t="shared" si="48"/>
        <v>0</v>
      </c>
      <c r="BI41" s="26">
        <f t="shared" si="49"/>
        <v>0</v>
      </c>
    </row>
    <row r="42" spans="1:61" ht="12.75">
      <c r="A42" s="34" t="s">
        <v>34</v>
      </c>
      <c r="B42" s="35"/>
      <c r="C42" s="35" t="s">
        <v>281</v>
      </c>
      <c r="D42" s="35" t="s">
        <v>527</v>
      </c>
      <c r="E42" s="35" t="s">
        <v>750</v>
      </c>
      <c r="F42" s="36">
        <v>1</v>
      </c>
      <c r="G42" s="1">
        <v>0</v>
      </c>
      <c r="H42" s="36">
        <f t="shared" si="24"/>
        <v>0</v>
      </c>
      <c r="I42" s="36">
        <f t="shared" si="25"/>
        <v>0</v>
      </c>
      <c r="J42" s="36">
        <f t="shared" si="26"/>
        <v>0</v>
      </c>
      <c r="K42" s="36">
        <v>0.02</v>
      </c>
      <c r="L42" s="36">
        <f t="shared" si="27"/>
        <v>0.02</v>
      </c>
      <c r="Y42" s="27">
        <f t="shared" si="28"/>
        <v>0</v>
      </c>
      <c r="AA42" s="27">
        <f t="shared" si="29"/>
        <v>0</v>
      </c>
      <c r="AB42" s="27">
        <f t="shared" si="30"/>
        <v>0</v>
      </c>
      <c r="AC42" s="27">
        <f t="shared" si="31"/>
        <v>0</v>
      </c>
      <c r="AD42" s="27">
        <f t="shared" si="32"/>
        <v>0</v>
      </c>
      <c r="AE42" s="27">
        <f t="shared" si="33"/>
        <v>0</v>
      </c>
      <c r="AF42" s="27">
        <f t="shared" si="34"/>
        <v>0</v>
      </c>
      <c r="AG42" s="27">
        <f t="shared" si="35"/>
        <v>0</v>
      </c>
      <c r="AH42" s="17"/>
      <c r="AI42" s="36">
        <f t="shared" si="36"/>
        <v>0</v>
      </c>
      <c r="AJ42" s="36">
        <f t="shared" si="37"/>
        <v>0</v>
      </c>
      <c r="AK42" s="36">
        <f t="shared" si="38"/>
        <v>0</v>
      </c>
      <c r="AM42" s="27">
        <v>21</v>
      </c>
      <c r="AN42" s="27">
        <f>G42*1</f>
        <v>0</v>
      </c>
      <c r="AO42" s="27">
        <f>G42*(1-1)</f>
        <v>0</v>
      </c>
      <c r="AP42" s="37" t="s">
        <v>13</v>
      </c>
      <c r="AU42" s="27">
        <f t="shared" si="41"/>
        <v>0</v>
      </c>
      <c r="AV42" s="27">
        <f t="shared" si="42"/>
        <v>0</v>
      </c>
      <c r="AW42" s="27">
        <f t="shared" si="43"/>
        <v>0</v>
      </c>
      <c r="AX42" s="29" t="s">
        <v>785</v>
      </c>
      <c r="AY42" s="29" t="s">
        <v>793</v>
      </c>
      <c r="AZ42" s="17" t="s">
        <v>796</v>
      </c>
      <c r="BB42" s="27">
        <f t="shared" si="44"/>
        <v>0</v>
      </c>
      <c r="BC42" s="27">
        <f t="shared" si="45"/>
        <v>0</v>
      </c>
      <c r="BD42" s="27">
        <v>0</v>
      </c>
      <c r="BE42" s="27">
        <f t="shared" si="46"/>
        <v>0.02</v>
      </c>
      <c r="BG42" s="36">
        <f t="shared" si="47"/>
        <v>0</v>
      </c>
      <c r="BH42" s="36">
        <f t="shared" si="48"/>
        <v>0</v>
      </c>
      <c r="BI42" s="36">
        <f t="shared" si="49"/>
        <v>0</v>
      </c>
    </row>
    <row r="43" spans="1:61" ht="12.75">
      <c r="A43" s="24" t="s">
        <v>35</v>
      </c>
      <c r="B43" s="25"/>
      <c r="C43" s="25" t="s">
        <v>282</v>
      </c>
      <c r="D43" s="25" t="s">
        <v>528</v>
      </c>
      <c r="E43" s="25" t="s">
        <v>750</v>
      </c>
      <c r="F43" s="26">
        <v>1</v>
      </c>
      <c r="G43" s="1">
        <v>0</v>
      </c>
      <c r="H43" s="26">
        <f t="shared" si="24"/>
        <v>0</v>
      </c>
      <c r="I43" s="26">
        <f t="shared" si="25"/>
        <v>0</v>
      </c>
      <c r="J43" s="26">
        <f t="shared" si="26"/>
        <v>0</v>
      </c>
      <c r="K43" s="26">
        <v>0.01638</v>
      </c>
      <c r="L43" s="26">
        <f t="shared" si="27"/>
        <v>0.01638</v>
      </c>
      <c r="Y43" s="27">
        <f t="shared" si="28"/>
        <v>0</v>
      </c>
      <c r="AA43" s="27">
        <f t="shared" si="29"/>
        <v>0</v>
      </c>
      <c r="AB43" s="27">
        <f t="shared" si="30"/>
        <v>0</v>
      </c>
      <c r="AC43" s="27">
        <f t="shared" si="31"/>
        <v>0</v>
      </c>
      <c r="AD43" s="27">
        <f t="shared" si="32"/>
        <v>0</v>
      </c>
      <c r="AE43" s="27">
        <f t="shared" si="33"/>
        <v>0</v>
      </c>
      <c r="AF43" s="27">
        <f t="shared" si="34"/>
        <v>0</v>
      </c>
      <c r="AG43" s="27">
        <f t="shared" si="35"/>
        <v>0</v>
      </c>
      <c r="AH43" s="17"/>
      <c r="AI43" s="26">
        <f t="shared" si="36"/>
        <v>0</v>
      </c>
      <c r="AJ43" s="26">
        <f t="shared" si="37"/>
        <v>0</v>
      </c>
      <c r="AK43" s="26">
        <f t="shared" si="38"/>
        <v>0</v>
      </c>
      <c r="AM43" s="27">
        <v>21</v>
      </c>
      <c r="AN43" s="27">
        <f>G43*0.06</f>
        <v>0</v>
      </c>
      <c r="AO43" s="27">
        <f>G43*(1-0.06)</f>
        <v>0</v>
      </c>
      <c r="AP43" s="28" t="s">
        <v>13</v>
      </c>
      <c r="AU43" s="27">
        <f t="shared" si="41"/>
        <v>0</v>
      </c>
      <c r="AV43" s="27">
        <f t="shared" si="42"/>
        <v>0</v>
      </c>
      <c r="AW43" s="27">
        <f t="shared" si="43"/>
        <v>0</v>
      </c>
      <c r="AX43" s="29" t="s">
        <v>785</v>
      </c>
      <c r="AY43" s="29" t="s">
        <v>793</v>
      </c>
      <c r="AZ43" s="17" t="s">
        <v>796</v>
      </c>
      <c r="BB43" s="27">
        <f t="shared" si="44"/>
        <v>0</v>
      </c>
      <c r="BC43" s="27">
        <f t="shared" si="45"/>
        <v>0</v>
      </c>
      <c r="BD43" s="27">
        <v>0</v>
      </c>
      <c r="BE43" s="27">
        <f t="shared" si="46"/>
        <v>0.01638</v>
      </c>
      <c r="BG43" s="26">
        <f t="shared" si="47"/>
        <v>0</v>
      </c>
      <c r="BH43" s="26">
        <f t="shared" si="48"/>
        <v>0</v>
      </c>
      <c r="BI43" s="26">
        <f t="shared" si="49"/>
        <v>0</v>
      </c>
    </row>
    <row r="44" spans="4:7" ht="12">
      <c r="D44" s="39" t="s">
        <v>529</v>
      </c>
      <c r="G44" s="26"/>
    </row>
    <row r="45" spans="1:61" ht="12.75">
      <c r="A45" s="24" t="s">
        <v>36</v>
      </c>
      <c r="B45" s="25"/>
      <c r="C45" s="25" t="s">
        <v>283</v>
      </c>
      <c r="D45" s="25" t="s">
        <v>530</v>
      </c>
      <c r="E45" s="25" t="s">
        <v>750</v>
      </c>
      <c r="F45" s="26">
        <v>1</v>
      </c>
      <c r="G45" s="1">
        <v>0</v>
      </c>
      <c r="H45" s="26">
        <f aca="true" t="shared" si="50" ref="H45:H76">F45*AN45</f>
        <v>0</v>
      </c>
      <c r="I45" s="26">
        <f aca="true" t="shared" si="51" ref="I45:I76">F45*AO45</f>
        <v>0</v>
      </c>
      <c r="J45" s="26">
        <f aca="true" t="shared" si="52" ref="J45:J108">F45*G45</f>
        <v>0</v>
      </c>
      <c r="K45" s="26">
        <v>0.00028</v>
      </c>
      <c r="L45" s="26">
        <f aca="true" t="shared" si="53" ref="L45:L108">F45*K45</f>
        <v>0.00028</v>
      </c>
      <c r="Y45" s="27">
        <f aca="true" t="shared" si="54" ref="Y45:Y108">IF(AP45="5",BI45,0)</f>
        <v>0</v>
      </c>
      <c r="AA45" s="27">
        <f aca="true" t="shared" si="55" ref="AA45:AA108">IF(AP45="1",BG45,0)</f>
        <v>0</v>
      </c>
      <c r="AB45" s="27">
        <f aca="true" t="shared" si="56" ref="AB45:AB108">IF(AP45="1",BH45,0)</f>
        <v>0</v>
      </c>
      <c r="AC45" s="27">
        <f aca="true" t="shared" si="57" ref="AC45:AC108">IF(AP45="7",BG45,0)</f>
        <v>0</v>
      </c>
      <c r="AD45" s="27">
        <f aca="true" t="shared" si="58" ref="AD45:AD108">IF(AP45="7",BH45,0)</f>
        <v>0</v>
      </c>
      <c r="AE45" s="27">
        <f aca="true" t="shared" si="59" ref="AE45:AE108">IF(AP45="2",BG45,0)</f>
        <v>0</v>
      </c>
      <c r="AF45" s="27">
        <f aca="true" t="shared" si="60" ref="AF45:AF108">IF(AP45="2",BH45,0)</f>
        <v>0</v>
      </c>
      <c r="AG45" s="27">
        <f aca="true" t="shared" si="61" ref="AG45:AG108">IF(AP45="0",BI45,0)</f>
        <v>0</v>
      </c>
      <c r="AH45" s="17"/>
      <c r="AI45" s="26">
        <f aca="true" t="shared" si="62" ref="AI45:AI76">IF(AM45=0,J45,0)</f>
        <v>0</v>
      </c>
      <c r="AJ45" s="26">
        <f aca="true" t="shared" si="63" ref="AJ45:AJ76">IF(AM45=15,J45,0)</f>
        <v>0</v>
      </c>
      <c r="AK45" s="26">
        <f aca="true" t="shared" si="64" ref="AK45:AK76">IF(AM45=21,J45,0)</f>
        <v>0</v>
      </c>
      <c r="AM45" s="27">
        <v>21</v>
      </c>
      <c r="AN45" s="27">
        <f>G45*0.0112627986348123</f>
        <v>0</v>
      </c>
      <c r="AO45" s="27">
        <f>G45*(1-0.0112627986348123)</f>
        <v>0</v>
      </c>
      <c r="AP45" s="28" t="s">
        <v>13</v>
      </c>
      <c r="AU45" s="27">
        <f aca="true" t="shared" si="65" ref="AU45:AU108">AV45+AW45</f>
        <v>0</v>
      </c>
      <c r="AV45" s="27">
        <f aca="true" t="shared" si="66" ref="AV45:AV76">F45*AN45</f>
        <v>0</v>
      </c>
      <c r="AW45" s="27">
        <f aca="true" t="shared" si="67" ref="AW45:AW76">F45*AO45</f>
        <v>0</v>
      </c>
      <c r="AX45" s="29" t="s">
        <v>785</v>
      </c>
      <c r="AY45" s="29" t="s">
        <v>793</v>
      </c>
      <c r="AZ45" s="17" t="s">
        <v>796</v>
      </c>
      <c r="BB45" s="27">
        <f aca="true" t="shared" si="68" ref="BB45:BB108">AV45+AW45</f>
        <v>0</v>
      </c>
      <c r="BC45" s="27">
        <f aca="true" t="shared" si="69" ref="BC45:BC76">G45/(100-BD45)*100</f>
        <v>0</v>
      </c>
      <c r="BD45" s="27">
        <v>0</v>
      </c>
      <c r="BE45" s="27">
        <f aca="true" t="shared" si="70" ref="BE45:BE108">L45</f>
        <v>0.00028</v>
      </c>
      <c r="BG45" s="26">
        <f aca="true" t="shared" si="71" ref="BG45:BG76">F45*AN45</f>
        <v>0</v>
      </c>
      <c r="BH45" s="26">
        <f aca="true" t="shared" si="72" ref="BH45:BH76">F45*AO45</f>
        <v>0</v>
      </c>
      <c r="BI45" s="26">
        <f aca="true" t="shared" si="73" ref="BI45:BI76">F45*G45</f>
        <v>0</v>
      </c>
    </row>
    <row r="46" spans="1:61" ht="12.75">
      <c r="A46" s="24" t="s">
        <v>37</v>
      </c>
      <c r="B46" s="25"/>
      <c r="C46" s="25" t="s">
        <v>284</v>
      </c>
      <c r="D46" s="25" t="s">
        <v>531</v>
      </c>
      <c r="E46" s="25" t="s">
        <v>750</v>
      </c>
      <c r="F46" s="26">
        <v>1</v>
      </c>
      <c r="G46" s="1">
        <v>0</v>
      </c>
      <c r="H46" s="26">
        <f t="shared" si="50"/>
        <v>0</v>
      </c>
      <c r="I46" s="26">
        <f t="shared" si="51"/>
        <v>0</v>
      </c>
      <c r="J46" s="26">
        <f t="shared" si="52"/>
        <v>0</v>
      </c>
      <c r="K46" s="26">
        <v>0.00028</v>
      </c>
      <c r="L46" s="26">
        <f t="shared" si="53"/>
        <v>0.00028</v>
      </c>
      <c r="Y46" s="27">
        <f t="shared" si="54"/>
        <v>0</v>
      </c>
      <c r="AA46" s="27">
        <f t="shared" si="55"/>
        <v>0</v>
      </c>
      <c r="AB46" s="27">
        <f t="shared" si="56"/>
        <v>0</v>
      </c>
      <c r="AC46" s="27">
        <f t="shared" si="57"/>
        <v>0</v>
      </c>
      <c r="AD46" s="27">
        <f t="shared" si="58"/>
        <v>0</v>
      </c>
      <c r="AE46" s="27">
        <f t="shared" si="59"/>
        <v>0</v>
      </c>
      <c r="AF46" s="27">
        <f t="shared" si="60"/>
        <v>0</v>
      </c>
      <c r="AG46" s="27">
        <f t="shared" si="61"/>
        <v>0</v>
      </c>
      <c r="AH46" s="17"/>
      <c r="AI46" s="26">
        <f t="shared" si="62"/>
        <v>0</v>
      </c>
      <c r="AJ46" s="26">
        <f t="shared" si="63"/>
        <v>0</v>
      </c>
      <c r="AK46" s="26">
        <f t="shared" si="64"/>
        <v>0</v>
      </c>
      <c r="AM46" s="27">
        <v>21</v>
      </c>
      <c r="AN46" s="27">
        <f>G46*0.0045993031358885</f>
        <v>0</v>
      </c>
      <c r="AO46" s="27">
        <f>G46*(1-0.0045993031358885)</f>
        <v>0</v>
      </c>
      <c r="AP46" s="28" t="s">
        <v>13</v>
      </c>
      <c r="AU46" s="27">
        <f t="shared" si="65"/>
        <v>0</v>
      </c>
      <c r="AV46" s="27">
        <f t="shared" si="66"/>
        <v>0</v>
      </c>
      <c r="AW46" s="27">
        <f t="shared" si="67"/>
        <v>0</v>
      </c>
      <c r="AX46" s="29" t="s">
        <v>785</v>
      </c>
      <c r="AY46" s="29" t="s">
        <v>793</v>
      </c>
      <c r="AZ46" s="17" t="s">
        <v>796</v>
      </c>
      <c r="BB46" s="27">
        <f t="shared" si="68"/>
        <v>0</v>
      </c>
      <c r="BC46" s="27">
        <f t="shared" si="69"/>
        <v>0</v>
      </c>
      <c r="BD46" s="27">
        <v>0</v>
      </c>
      <c r="BE46" s="27">
        <f t="shared" si="70"/>
        <v>0.00028</v>
      </c>
      <c r="BG46" s="26">
        <f t="shared" si="71"/>
        <v>0</v>
      </c>
      <c r="BH46" s="26">
        <f t="shared" si="72"/>
        <v>0</v>
      </c>
      <c r="BI46" s="26">
        <f t="shared" si="73"/>
        <v>0</v>
      </c>
    </row>
    <row r="47" spans="1:61" ht="12.75">
      <c r="A47" s="24" t="s">
        <v>38</v>
      </c>
      <c r="B47" s="25"/>
      <c r="C47" s="25" t="s">
        <v>285</v>
      </c>
      <c r="D47" s="25" t="s">
        <v>532</v>
      </c>
      <c r="E47" s="25" t="s">
        <v>750</v>
      </c>
      <c r="F47" s="26">
        <v>1</v>
      </c>
      <c r="G47" s="1">
        <v>0</v>
      </c>
      <c r="H47" s="26">
        <f t="shared" si="50"/>
        <v>0</v>
      </c>
      <c r="I47" s="26">
        <f t="shared" si="51"/>
        <v>0</v>
      </c>
      <c r="J47" s="26">
        <f t="shared" si="52"/>
        <v>0</v>
      </c>
      <c r="K47" s="26">
        <v>0.00028</v>
      </c>
      <c r="L47" s="26">
        <f t="shared" si="53"/>
        <v>0.00028</v>
      </c>
      <c r="Y47" s="27">
        <f t="shared" si="54"/>
        <v>0</v>
      </c>
      <c r="AA47" s="27">
        <f t="shared" si="55"/>
        <v>0</v>
      </c>
      <c r="AB47" s="27">
        <f t="shared" si="56"/>
        <v>0</v>
      </c>
      <c r="AC47" s="27">
        <f t="shared" si="57"/>
        <v>0</v>
      </c>
      <c r="AD47" s="27">
        <f t="shared" si="58"/>
        <v>0</v>
      </c>
      <c r="AE47" s="27">
        <f t="shared" si="59"/>
        <v>0</v>
      </c>
      <c r="AF47" s="27">
        <f t="shared" si="60"/>
        <v>0</v>
      </c>
      <c r="AG47" s="27">
        <f t="shared" si="61"/>
        <v>0</v>
      </c>
      <c r="AH47" s="17"/>
      <c r="AI47" s="26">
        <f t="shared" si="62"/>
        <v>0</v>
      </c>
      <c r="AJ47" s="26">
        <f t="shared" si="63"/>
        <v>0</v>
      </c>
      <c r="AK47" s="26">
        <f t="shared" si="64"/>
        <v>0</v>
      </c>
      <c r="AM47" s="27">
        <v>21</v>
      </c>
      <c r="AN47" s="27">
        <f>G47*0.0108194947623809</f>
        <v>0</v>
      </c>
      <c r="AO47" s="27">
        <f>G47*(1-0.0108194947623809)</f>
        <v>0</v>
      </c>
      <c r="AP47" s="28" t="s">
        <v>13</v>
      </c>
      <c r="AU47" s="27">
        <f t="shared" si="65"/>
        <v>0</v>
      </c>
      <c r="AV47" s="27">
        <f t="shared" si="66"/>
        <v>0</v>
      </c>
      <c r="AW47" s="27">
        <f t="shared" si="67"/>
        <v>0</v>
      </c>
      <c r="AX47" s="29" t="s">
        <v>785</v>
      </c>
      <c r="AY47" s="29" t="s">
        <v>793</v>
      </c>
      <c r="AZ47" s="17" t="s">
        <v>796</v>
      </c>
      <c r="BB47" s="27">
        <f t="shared" si="68"/>
        <v>0</v>
      </c>
      <c r="BC47" s="27">
        <f t="shared" si="69"/>
        <v>0</v>
      </c>
      <c r="BD47" s="27">
        <v>0</v>
      </c>
      <c r="BE47" s="27">
        <f t="shared" si="70"/>
        <v>0.00028</v>
      </c>
      <c r="BG47" s="26">
        <f t="shared" si="71"/>
        <v>0</v>
      </c>
      <c r="BH47" s="26">
        <f t="shared" si="72"/>
        <v>0</v>
      </c>
      <c r="BI47" s="26">
        <f t="shared" si="73"/>
        <v>0</v>
      </c>
    </row>
    <row r="48" spans="1:61" ht="12.75">
      <c r="A48" s="24" t="s">
        <v>39</v>
      </c>
      <c r="B48" s="25"/>
      <c r="C48" s="25" t="s">
        <v>286</v>
      </c>
      <c r="D48" s="25" t="s">
        <v>533</v>
      </c>
      <c r="E48" s="25" t="s">
        <v>750</v>
      </c>
      <c r="F48" s="26">
        <v>1</v>
      </c>
      <c r="G48" s="1">
        <v>0</v>
      </c>
      <c r="H48" s="26">
        <f t="shared" si="50"/>
        <v>0</v>
      </c>
      <c r="I48" s="26">
        <f t="shared" si="51"/>
        <v>0</v>
      </c>
      <c r="J48" s="26">
        <f t="shared" si="52"/>
        <v>0</v>
      </c>
      <c r="K48" s="26">
        <v>0.00028</v>
      </c>
      <c r="L48" s="26">
        <f t="shared" si="53"/>
        <v>0.00028</v>
      </c>
      <c r="Y48" s="27">
        <f t="shared" si="54"/>
        <v>0</v>
      </c>
      <c r="AA48" s="27">
        <f t="shared" si="55"/>
        <v>0</v>
      </c>
      <c r="AB48" s="27">
        <f t="shared" si="56"/>
        <v>0</v>
      </c>
      <c r="AC48" s="27">
        <f t="shared" si="57"/>
        <v>0</v>
      </c>
      <c r="AD48" s="27">
        <f t="shared" si="58"/>
        <v>0</v>
      </c>
      <c r="AE48" s="27">
        <f t="shared" si="59"/>
        <v>0</v>
      </c>
      <c r="AF48" s="27">
        <f t="shared" si="60"/>
        <v>0</v>
      </c>
      <c r="AG48" s="27">
        <f t="shared" si="61"/>
        <v>0</v>
      </c>
      <c r="AH48" s="17"/>
      <c r="AI48" s="26">
        <f t="shared" si="62"/>
        <v>0</v>
      </c>
      <c r="AJ48" s="26">
        <f t="shared" si="63"/>
        <v>0</v>
      </c>
      <c r="AK48" s="26">
        <f t="shared" si="64"/>
        <v>0</v>
      </c>
      <c r="AM48" s="27">
        <v>21</v>
      </c>
      <c r="AN48" s="27">
        <f>G48*0.00467091295116773</f>
        <v>0</v>
      </c>
      <c r="AO48" s="27">
        <f>G48*(1-0.00467091295116773)</f>
        <v>0</v>
      </c>
      <c r="AP48" s="28" t="s">
        <v>13</v>
      </c>
      <c r="AU48" s="27">
        <f t="shared" si="65"/>
        <v>0</v>
      </c>
      <c r="AV48" s="27">
        <f t="shared" si="66"/>
        <v>0</v>
      </c>
      <c r="AW48" s="27">
        <f t="shared" si="67"/>
        <v>0</v>
      </c>
      <c r="AX48" s="29" t="s">
        <v>785</v>
      </c>
      <c r="AY48" s="29" t="s">
        <v>793</v>
      </c>
      <c r="AZ48" s="17" t="s">
        <v>796</v>
      </c>
      <c r="BB48" s="27">
        <f t="shared" si="68"/>
        <v>0</v>
      </c>
      <c r="BC48" s="27">
        <f t="shared" si="69"/>
        <v>0</v>
      </c>
      <c r="BD48" s="27">
        <v>0</v>
      </c>
      <c r="BE48" s="27">
        <f t="shared" si="70"/>
        <v>0.00028</v>
      </c>
      <c r="BG48" s="26">
        <f t="shared" si="71"/>
        <v>0</v>
      </c>
      <c r="BH48" s="26">
        <f t="shared" si="72"/>
        <v>0</v>
      </c>
      <c r="BI48" s="26">
        <f t="shared" si="73"/>
        <v>0</v>
      </c>
    </row>
    <row r="49" spans="1:61" ht="12.75">
      <c r="A49" s="24" t="s">
        <v>40</v>
      </c>
      <c r="B49" s="25"/>
      <c r="C49" s="25" t="s">
        <v>287</v>
      </c>
      <c r="D49" s="25" t="s">
        <v>534</v>
      </c>
      <c r="E49" s="25" t="s">
        <v>750</v>
      </c>
      <c r="F49" s="26">
        <v>1</v>
      </c>
      <c r="G49" s="1">
        <v>0</v>
      </c>
      <c r="H49" s="26">
        <f t="shared" si="50"/>
        <v>0</v>
      </c>
      <c r="I49" s="26">
        <f t="shared" si="51"/>
        <v>0</v>
      </c>
      <c r="J49" s="26">
        <f t="shared" si="52"/>
        <v>0</v>
      </c>
      <c r="K49" s="26">
        <v>0.01695</v>
      </c>
      <c r="L49" s="26">
        <f t="shared" si="53"/>
        <v>0.01695</v>
      </c>
      <c r="Y49" s="27">
        <f t="shared" si="54"/>
        <v>0</v>
      </c>
      <c r="AA49" s="27">
        <f t="shared" si="55"/>
        <v>0</v>
      </c>
      <c r="AB49" s="27">
        <f t="shared" si="56"/>
        <v>0</v>
      </c>
      <c r="AC49" s="27">
        <f t="shared" si="57"/>
        <v>0</v>
      </c>
      <c r="AD49" s="27">
        <f t="shared" si="58"/>
        <v>0</v>
      </c>
      <c r="AE49" s="27">
        <f t="shared" si="59"/>
        <v>0</v>
      </c>
      <c r="AF49" s="27">
        <f t="shared" si="60"/>
        <v>0</v>
      </c>
      <c r="AG49" s="27">
        <f t="shared" si="61"/>
        <v>0</v>
      </c>
      <c r="AH49" s="17"/>
      <c r="AI49" s="26">
        <f t="shared" si="62"/>
        <v>0</v>
      </c>
      <c r="AJ49" s="26">
        <f t="shared" si="63"/>
        <v>0</v>
      </c>
      <c r="AK49" s="26">
        <f t="shared" si="64"/>
        <v>0</v>
      </c>
      <c r="AM49" s="27">
        <v>21</v>
      </c>
      <c r="AN49" s="27">
        <f>G49*0.8</f>
        <v>0</v>
      </c>
      <c r="AO49" s="27">
        <f>G49*(1-0.8)</f>
        <v>0</v>
      </c>
      <c r="AP49" s="28" t="s">
        <v>13</v>
      </c>
      <c r="AU49" s="27">
        <f t="shared" si="65"/>
        <v>0</v>
      </c>
      <c r="AV49" s="27">
        <f t="shared" si="66"/>
        <v>0</v>
      </c>
      <c r="AW49" s="27">
        <f t="shared" si="67"/>
        <v>0</v>
      </c>
      <c r="AX49" s="29" t="s">
        <v>785</v>
      </c>
      <c r="AY49" s="29" t="s">
        <v>793</v>
      </c>
      <c r="AZ49" s="17" t="s">
        <v>796</v>
      </c>
      <c r="BB49" s="27">
        <f t="shared" si="68"/>
        <v>0</v>
      </c>
      <c r="BC49" s="27">
        <f t="shared" si="69"/>
        <v>0</v>
      </c>
      <c r="BD49" s="27">
        <v>0</v>
      </c>
      <c r="BE49" s="27">
        <f t="shared" si="70"/>
        <v>0.01695</v>
      </c>
      <c r="BG49" s="26">
        <f t="shared" si="71"/>
        <v>0</v>
      </c>
      <c r="BH49" s="26">
        <f t="shared" si="72"/>
        <v>0</v>
      </c>
      <c r="BI49" s="26">
        <f t="shared" si="73"/>
        <v>0</v>
      </c>
    </row>
    <row r="50" spans="1:61" ht="12.75">
      <c r="A50" s="24" t="s">
        <v>41</v>
      </c>
      <c r="B50" s="25"/>
      <c r="C50" s="25" t="s">
        <v>288</v>
      </c>
      <c r="D50" s="25" t="s">
        <v>535</v>
      </c>
      <c r="E50" s="25" t="s">
        <v>753</v>
      </c>
      <c r="F50" s="26">
        <v>1</v>
      </c>
      <c r="G50" s="1">
        <v>0</v>
      </c>
      <c r="H50" s="26">
        <f t="shared" si="50"/>
        <v>0</v>
      </c>
      <c r="I50" s="26">
        <f t="shared" si="51"/>
        <v>0</v>
      </c>
      <c r="J50" s="26">
        <f t="shared" si="52"/>
        <v>0</v>
      </c>
      <c r="K50" s="26">
        <v>0.00042</v>
      </c>
      <c r="L50" s="26">
        <f t="shared" si="53"/>
        <v>0.00042</v>
      </c>
      <c r="Y50" s="27">
        <f t="shared" si="54"/>
        <v>0</v>
      </c>
      <c r="AA50" s="27">
        <f t="shared" si="55"/>
        <v>0</v>
      </c>
      <c r="AB50" s="27">
        <f t="shared" si="56"/>
        <v>0</v>
      </c>
      <c r="AC50" s="27">
        <f t="shared" si="57"/>
        <v>0</v>
      </c>
      <c r="AD50" s="27">
        <f t="shared" si="58"/>
        <v>0</v>
      </c>
      <c r="AE50" s="27">
        <f t="shared" si="59"/>
        <v>0</v>
      </c>
      <c r="AF50" s="27">
        <f t="shared" si="60"/>
        <v>0</v>
      </c>
      <c r="AG50" s="27">
        <f t="shared" si="61"/>
        <v>0</v>
      </c>
      <c r="AH50" s="17"/>
      <c r="AI50" s="26">
        <f t="shared" si="62"/>
        <v>0</v>
      </c>
      <c r="AJ50" s="26">
        <f t="shared" si="63"/>
        <v>0</v>
      </c>
      <c r="AK50" s="26">
        <f t="shared" si="64"/>
        <v>0</v>
      </c>
      <c r="AM50" s="27">
        <v>21</v>
      </c>
      <c r="AN50" s="27">
        <f aca="true" t="shared" si="74" ref="AN50:AN84">G50*0</f>
        <v>0</v>
      </c>
      <c r="AO50" s="27">
        <f aca="true" t="shared" si="75" ref="AO50:AO84">G50*(1-0)</f>
        <v>0</v>
      </c>
      <c r="AP50" s="28" t="s">
        <v>13</v>
      </c>
      <c r="AU50" s="27">
        <f t="shared" si="65"/>
        <v>0</v>
      </c>
      <c r="AV50" s="27">
        <f t="shared" si="66"/>
        <v>0</v>
      </c>
      <c r="AW50" s="27">
        <f t="shared" si="67"/>
        <v>0</v>
      </c>
      <c r="AX50" s="29" t="s">
        <v>785</v>
      </c>
      <c r="AY50" s="29" t="s">
        <v>793</v>
      </c>
      <c r="AZ50" s="17" t="s">
        <v>796</v>
      </c>
      <c r="BB50" s="27">
        <f t="shared" si="68"/>
        <v>0</v>
      </c>
      <c r="BC50" s="27">
        <f t="shared" si="69"/>
        <v>0</v>
      </c>
      <c r="BD50" s="27">
        <v>0</v>
      </c>
      <c r="BE50" s="27">
        <f t="shared" si="70"/>
        <v>0.00042</v>
      </c>
      <c r="BG50" s="26">
        <f t="shared" si="71"/>
        <v>0</v>
      </c>
      <c r="BH50" s="26">
        <f t="shared" si="72"/>
        <v>0</v>
      </c>
      <c r="BI50" s="26">
        <f t="shared" si="73"/>
        <v>0</v>
      </c>
    </row>
    <row r="51" spans="1:61" ht="12.75">
      <c r="A51" s="24" t="s">
        <v>42</v>
      </c>
      <c r="B51" s="25"/>
      <c r="C51" s="25" t="s">
        <v>289</v>
      </c>
      <c r="D51" s="25" t="s">
        <v>536</v>
      </c>
      <c r="E51" s="25" t="s">
        <v>753</v>
      </c>
      <c r="F51" s="26">
        <v>1</v>
      </c>
      <c r="G51" s="1">
        <v>0</v>
      </c>
      <c r="H51" s="26">
        <f t="shared" si="50"/>
        <v>0</v>
      </c>
      <c r="I51" s="26">
        <f t="shared" si="51"/>
        <v>0</v>
      </c>
      <c r="J51" s="26">
        <f t="shared" si="52"/>
        <v>0</v>
      </c>
      <c r="K51" s="26">
        <v>0.004</v>
      </c>
      <c r="L51" s="26">
        <f t="shared" si="53"/>
        <v>0.004</v>
      </c>
      <c r="Y51" s="27">
        <f t="shared" si="54"/>
        <v>0</v>
      </c>
      <c r="AA51" s="27">
        <f t="shared" si="55"/>
        <v>0</v>
      </c>
      <c r="AB51" s="27">
        <f t="shared" si="56"/>
        <v>0</v>
      </c>
      <c r="AC51" s="27">
        <f t="shared" si="57"/>
        <v>0</v>
      </c>
      <c r="AD51" s="27">
        <f t="shared" si="58"/>
        <v>0</v>
      </c>
      <c r="AE51" s="27">
        <f t="shared" si="59"/>
        <v>0</v>
      </c>
      <c r="AF51" s="27">
        <f t="shared" si="60"/>
        <v>0</v>
      </c>
      <c r="AG51" s="27">
        <f t="shared" si="61"/>
        <v>0</v>
      </c>
      <c r="AH51" s="17"/>
      <c r="AI51" s="26">
        <f t="shared" si="62"/>
        <v>0</v>
      </c>
      <c r="AJ51" s="26">
        <f t="shared" si="63"/>
        <v>0</v>
      </c>
      <c r="AK51" s="26">
        <f t="shared" si="64"/>
        <v>0</v>
      </c>
      <c r="AM51" s="27">
        <v>21</v>
      </c>
      <c r="AN51" s="27">
        <f t="shared" si="74"/>
        <v>0</v>
      </c>
      <c r="AO51" s="27">
        <f t="shared" si="75"/>
        <v>0</v>
      </c>
      <c r="AP51" s="28" t="s">
        <v>13</v>
      </c>
      <c r="AU51" s="27">
        <f t="shared" si="65"/>
        <v>0</v>
      </c>
      <c r="AV51" s="27">
        <f t="shared" si="66"/>
        <v>0</v>
      </c>
      <c r="AW51" s="27">
        <f t="shared" si="67"/>
        <v>0</v>
      </c>
      <c r="AX51" s="29" t="s">
        <v>785</v>
      </c>
      <c r="AY51" s="29" t="s">
        <v>793</v>
      </c>
      <c r="AZ51" s="17" t="s">
        <v>796</v>
      </c>
      <c r="BB51" s="27">
        <f t="shared" si="68"/>
        <v>0</v>
      </c>
      <c r="BC51" s="27">
        <f t="shared" si="69"/>
        <v>0</v>
      </c>
      <c r="BD51" s="27">
        <v>0</v>
      </c>
      <c r="BE51" s="27">
        <f t="shared" si="70"/>
        <v>0.004</v>
      </c>
      <c r="BG51" s="26">
        <f t="shared" si="71"/>
        <v>0</v>
      </c>
      <c r="BH51" s="26">
        <f t="shared" si="72"/>
        <v>0</v>
      </c>
      <c r="BI51" s="26">
        <f t="shared" si="73"/>
        <v>0</v>
      </c>
    </row>
    <row r="52" spans="1:61" ht="12.75">
      <c r="A52" s="24" t="s">
        <v>43</v>
      </c>
      <c r="B52" s="25"/>
      <c r="C52" s="25" t="s">
        <v>290</v>
      </c>
      <c r="D52" s="25" t="s">
        <v>537</v>
      </c>
      <c r="E52" s="25" t="s">
        <v>753</v>
      </c>
      <c r="F52" s="26">
        <v>1</v>
      </c>
      <c r="G52" s="1">
        <v>0</v>
      </c>
      <c r="H52" s="26">
        <f t="shared" si="50"/>
        <v>0</v>
      </c>
      <c r="I52" s="26">
        <f t="shared" si="51"/>
        <v>0</v>
      </c>
      <c r="J52" s="26">
        <f t="shared" si="52"/>
        <v>0</v>
      </c>
      <c r="K52" s="26">
        <v>0.00026</v>
      </c>
      <c r="L52" s="26">
        <f t="shared" si="53"/>
        <v>0.00026</v>
      </c>
      <c r="Y52" s="27">
        <f t="shared" si="54"/>
        <v>0</v>
      </c>
      <c r="AA52" s="27">
        <f t="shared" si="55"/>
        <v>0</v>
      </c>
      <c r="AB52" s="27">
        <f t="shared" si="56"/>
        <v>0</v>
      </c>
      <c r="AC52" s="27">
        <f t="shared" si="57"/>
        <v>0</v>
      </c>
      <c r="AD52" s="27">
        <f t="shared" si="58"/>
        <v>0</v>
      </c>
      <c r="AE52" s="27">
        <f t="shared" si="59"/>
        <v>0</v>
      </c>
      <c r="AF52" s="27">
        <f t="shared" si="60"/>
        <v>0</v>
      </c>
      <c r="AG52" s="27">
        <f t="shared" si="61"/>
        <v>0</v>
      </c>
      <c r="AH52" s="17"/>
      <c r="AI52" s="26">
        <f t="shared" si="62"/>
        <v>0</v>
      </c>
      <c r="AJ52" s="26">
        <f t="shared" si="63"/>
        <v>0</v>
      </c>
      <c r="AK52" s="26">
        <f t="shared" si="64"/>
        <v>0</v>
      </c>
      <c r="AM52" s="27">
        <v>21</v>
      </c>
      <c r="AN52" s="27">
        <f t="shared" si="74"/>
        <v>0</v>
      </c>
      <c r="AO52" s="27">
        <f t="shared" si="75"/>
        <v>0</v>
      </c>
      <c r="AP52" s="28" t="s">
        <v>13</v>
      </c>
      <c r="AU52" s="27">
        <f t="shared" si="65"/>
        <v>0</v>
      </c>
      <c r="AV52" s="27">
        <f t="shared" si="66"/>
        <v>0</v>
      </c>
      <c r="AW52" s="27">
        <f t="shared" si="67"/>
        <v>0</v>
      </c>
      <c r="AX52" s="29" t="s">
        <v>785</v>
      </c>
      <c r="AY52" s="29" t="s">
        <v>793</v>
      </c>
      <c r="AZ52" s="17" t="s">
        <v>796</v>
      </c>
      <c r="BB52" s="27">
        <f t="shared" si="68"/>
        <v>0</v>
      </c>
      <c r="BC52" s="27">
        <f t="shared" si="69"/>
        <v>0</v>
      </c>
      <c r="BD52" s="27">
        <v>0</v>
      </c>
      <c r="BE52" s="27">
        <f t="shared" si="70"/>
        <v>0.00026</v>
      </c>
      <c r="BG52" s="26">
        <f t="shared" si="71"/>
        <v>0</v>
      </c>
      <c r="BH52" s="26">
        <f t="shared" si="72"/>
        <v>0</v>
      </c>
      <c r="BI52" s="26">
        <f t="shared" si="73"/>
        <v>0</v>
      </c>
    </row>
    <row r="53" spans="1:61" ht="12.75">
      <c r="A53" s="24" t="s">
        <v>44</v>
      </c>
      <c r="B53" s="25"/>
      <c r="C53" s="25" t="s">
        <v>291</v>
      </c>
      <c r="D53" s="25" t="s">
        <v>538</v>
      </c>
      <c r="E53" s="25" t="s">
        <v>753</v>
      </c>
      <c r="F53" s="26">
        <v>1</v>
      </c>
      <c r="G53" s="1">
        <v>0</v>
      </c>
      <c r="H53" s="26">
        <f t="shared" si="50"/>
        <v>0</v>
      </c>
      <c r="I53" s="26">
        <f t="shared" si="51"/>
        <v>0</v>
      </c>
      <c r="J53" s="26">
        <f t="shared" si="52"/>
        <v>0</v>
      </c>
      <c r="K53" s="26">
        <v>0.0018</v>
      </c>
      <c r="L53" s="26">
        <f t="shared" si="53"/>
        <v>0.0018</v>
      </c>
      <c r="Y53" s="27">
        <f t="shared" si="54"/>
        <v>0</v>
      </c>
      <c r="AA53" s="27">
        <f t="shared" si="55"/>
        <v>0</v>
      </c>
      <c r="AB53" s="27">
        <f t="shared" si="56"/>
        <v>0</v>
      </c>
      <c r="AC53" s="27">
        <f t="shared" si="57"/>
        <v>0</v>
      </c>
      <c r="AD53" s="27">
        <f t="shared" si="58"/>
        <v>0</v>
      </c>
      <c r="AE53" s="27">
        <f t="shared" si="59"/>
        <v>0</v>
      </c>
      <c r="AF53" s="27">
        <f t="shared" si="60"/>
        <v>0</v>
      </c>
      <c r="AG53" s="27">
        <f t="shared" si="61"/>
        <v>0</v>
      </c>
      <c r="AH53" s="17"/>
      <c r="AI53" s="26">
        <f t="shared" si="62"/>
        <v>0</v>
      </c>
      <c r="AJ53" s="26">
        <f t="shared" si="63"/>
        <v>0</v>
      </c>
      <c r="AK53" s="26">
        <f t="shared" si="64"/>
        <v>0</v>
      </c>
      <c r="AM53" s="27">
        <v>21</v>
      </c>
      <c r="AN53" s="27">
        <f t="shared" si="74"/>
        <v>0</v>
      </c>
      <c r="AO53" s="27">
        <f t="shared" si="75"/>
        <v>0</v>
      </c>
      <c r="AP53" s="28" t="s">
        <v>13</v>
      </c>
      <c r="AU53" s="27">
        <f t="shared" si="65"/>
        <v>0</v>
      </c>
      <c r="AV53" s="27">
        <f t="shared" si="66"/>
        <v>0</v>
      </c>
      <c r="AW53" s="27">
        <f t="shared" si="67"/>
        <v>0</v>
      </c>
      <c r="AX53" s="29" t="s">
        <v>785</v>
      </c>
      <c r="AY53" s="29" t="s">
        <v>793</v>
      </c>
      <c r="AZ53" s="17" t="s">
        <v>796</v>
      </c>
      <c r="BB53" s="27">
        <f t="shared" si="68"/>
        <v>0</v>
      </c>
      <c r="BC53" s="27">
        <f t="shared" si="69"/>
        <v>0</v>
      </c>
      <c r="BD53" s="27">
        <v>0</v>
      </c>
      <c r="BE53" s="27">
        <f t="shared" si="70"/>
        <v>0.0018</v>
      </c>
      <c r="BG53" s="26">
        <f t="shared" si="71"/>
        <v>0</v>
      </c>
      <c r="BH53" s="26">
        <f t="shared" si="72"/>
        <v>0</v>
      </c>
      <c r="BI53" s="26">
        <f t="shared" si="73"/>
        <v>0</v>
      </c>
    </row>
    <row r="54" spans="1:61" ht="12.75">
      <c r="A54" s="24" t="s">
        <v>45</v>
      </c>
      <c r="B54" s="25"/>
      <c r="C54" s="25" t="s">
        <v>292</v>
      </c>
      <c r="D54" s="25" t="s">
        <v>539</v>
      </c>
      <c r="E54" s="25" t="s">
        <v>753</v>
      </c>
      <c r="F54" s="26">
        <v>1</v>
      </c>
      <c r="G54" s="1">
        <v>0</v>
      </c>
      <c r="H54" s="26">
        <f t="shared" si="50"/>
        <v>0</v>
      </c>
      <c r="I54" s="26">
        <f t="shared" si="51"/>
        <v>0</v>
      </c>
      <c r="J54" s="26">
        <f t="shared" si="52"/>
        <v>0</v>
      </c>
      <c r="K54" s="26">
        <v>0.00223</v>
      </c>
      <c r="L54" s="26">
        <f t="shared" si="53"/>
        <v>0.00223</v>
      </c>
      <c r="Y54" s="27">
        <f t="shared" si="54"/>
        <v>0</v>
      </c>
      <c r="AA54" s="27">
        <f t="shared" si="55"/>
        <v>0</v>
      </c>
      <c r="AB54" s="27">
        <f t="shared" si="56"/>
        <v>0</v>
      </c>
      <c r="AC54" s="27">
        <f t="shared" si="57"/>
        <v>0</v>
      </c>
      <c r="AD54" s="27">
        <f t="shared" si="58"/>
        <v>0</v>
      </c>
      <c r="AE54" s="27">
        <f t="shared" si="59"/>
        <v>0</v>
      </c>
      <c r="AF54" s="27">
        <f t="shared" si="60"/>
        <v>0</v>
      </c>
      <c r="AG54" s="27">
        <f t="shared" si="61"/>
        <v>0</v>
      </c>
      <c r="AH54" s="17"/>
      <c r="AI54" s="26">
        <f t="shared" si="62"/>
        <v>0</v>
      </c>
      <c r="AJ54" s="26">
        <f t="shared" si="63"/>
        <v>0</v>
      </c>
      <c r="AK54" s="26">
        <f t="shared" si="64"/>
        <v>0</v>
      </c>
      <c r="AM54" s="27">
        <v>21</v>
      </c>
      <c r="AN54" s="27">
        <f t="shared" si="74"/>
        <v>0</v>
      </c>
      <c r="AO54" s="27">
        <f t="shared" si="75"/>
        <v>0</v>
      </c>
      <c r="AP54" s="28" t="s">
        <v>13</v>
      </c>
      <c r="AU54" s="27">
        <f t="shared" si="65"/>
        <v>0</v>
      </c>
      <c r="AV54" s="27">
        <f t="shared" si="66"/>
        <v>0</v>
      </c>
      <c r="AW54" s="27">
        <f t="shared" si="67"/>
        <v>0</v>
      </c>
      <c r="AX54" s="29" t="s">
        <v>785</v>
      </c>
      <c r="AY54" s="29" t="s">
        <v>793</v>
      </c>
      <c r="AZ54" s="17" t="s">
        <v>796</v>
      </c>
      <c r="BB54" s="27">
        <f t="shared" si="68"/>
        <v>0</v>
      </c>
      <c r="BC54" s="27">
        <f t="shared" si="69"/>
        <v>0</v>
      </c>
      <c r="BD54" s="27">
        <v>0</v>
      </c>
      <c r="BE54" s="27">
        <f t="shared" si="70"/>
        <v>0.00223</v>
      </c>
      <c r="BG54" s="26">
        <f t="shared" si="71"/>
        <v>0</v>
      </c>
      <c r="BH54" s="26">
        <f t="shared" si="72"/>
        <v>0</v>
      </c>
      <c r="BI54" s="26">
        <f t="shared" si="73"/>
        <v>0</v>
      </c>
    </row>
    <row r="55" spans="1:61" ht="12.75">
      <c r="A55" s="24" t="s">
        <v>46</v>
      </c>
      <c r="B55" s="25"/>
      <c r="C55" s="25" t="s">
        <v>293</v>
      </c>
      <c r="D55" s="25" t="s">
        <v>540</v>
      </c>
      <c r="E55" s="25" t="s">
        <v>750</v>
      </c>
      <c r="F55" s="26">
        <v>1</v>
      </c>
      <c r="G55" s="1">
        <v>0</v>
      </c>
      <c r="H55" s="26">
        <f t="shared" si="50"/>
        <v>0</v>
      </c>
      <c r="I55" s="26">
        <f t="shared" si="51"/>
        <v>0</v>
      </c>
      <c r="J55" s="26">
        <f t="shared" si="52"/>
        <v>0</v>
      </c>
      <c r="K55" s="26">
        <v>0</v>
      </c>
      <c r="L55" s="26">
        <f t="shared" si="53"/>
        <v>0</v>
      </c>
      <c r="Y55" s="27">
        <f t="shared" si="54"/>
        <v>0</v>
      </c>
      <c r="AA55" s="27">
        <f t="shared" si="55"/>
        <v>0</v>
      </c>
      <c r="AB55" s="27">
        <f t="shared" si="56"/>
        <v>0</v>
      </c>
      <c r="AC55" s="27">
        <f t="shared" si="57"/>
        <v>0</v>
      </c>
      <c r="AD55" s="27">
        <f t="shared" si="58"/>
        <v>0</v>
      </c>
      <c r="AE55" s="27">
        <f t="shared" si="59"/>
        <v>0</v>
      </c>
      <c r="AF55" s="27">
        <f t="shared" si="60"/>
        <v>0</v>
      </c>
      <c r="AG55" s="27">
        <f t="shared" si="61"/>
        <v>0</v>
      </c>
      <c r="AH55" s="17"/>
      <c r="AI55" s="26">
        <f t="shared" si="62"/>
        <v>0</v>
      </c>
      <c r="AJ55" s="26">
        <f t="shared" si="63"/>
        <v>0</v>
      </c>
      <c r="AK55" s="26">
        <f t="shared" si="64"/>
        <v>0</v>
      </c>
      <c r="AM55" s="27">
        <v>21</v>
      </c>
      <c r="AN55" s="27">
        <f t="shared" si="74"/>
        <v>0</v>
      </c>
      <c r="AO55" s="27">
        <f t="shared" si="75"/>
        <v>0</v>
      </c>
      <c r="AP55" s="28" t="s">
        <v>13</v>
      </c>
      <c r="AU55" s="27">
        <f t="shared" si="65"/>
        <v>0</v>
      </c>
      <c r="AV55" s="27">
        <f t="shared" si="66"/>
        <v>0</v>
      </c>
      <c r="AW55" s="27">
        <f t="shared" si="67"/>
        <v>0</v>
      </c>
      <c r="AX55" s="29" t="s">
        <v>785</v>
      </c>
      <c r="AY55" s="29" t="s">
        <v>793</v>
      </c>
      <c r="AZ55" s="17" t="s">
        <v>796</v>
      </c>
      <c r="BB55" s="27">
        <f t="shared" si="68"/>
        <v>0</v>
      </c>
      <c r="BC55" s="27">
        <f t="shared" si="69"/>
        <v>0</v>
      </c>
      <c r="BD55" s="27">
        <v>0</v>
      </c>
      <c r="BE55" s="27">
        <f t="shared" si="70"/>
        <v>0</v>
      </c>
      <c r="BG55" s="26">
        <f t="shared" si="71"/>
        <v>0</v>
      </c>
      <c r="BH55" s="26">
        <f t="shared" si="72"/>
        <v>0</v>
      </c>
      <c r="BI55" s="26">
        <f t="shared" si="73"/>
        <v>0</v>
      </c>
    </row>
    <row r="56" spans="1:61" ht="12.75">
      <c r="A56" s="24" t="s">
        <v>47</v>
      </c>
      <c r="B56" s="25"/>
      <c r="C56" s="25" t="s">
        <v>294</v>
      </c>
      <c r="D56" s="25" t="s">
        <v>541</v>
      </c>
      <c r="E56" s="25" t="s">
        <v>750</v>
      </c>
      <c r="F56" s="26">
        <v>1</v>
      </c>
      <c r="G56" s="1">
        <v>0</v>
      </c>
      <c r="H56" s="26">
        <f t="shared" si="50"/>
        <v>0</v>
      </c>
      <c r="I56" s="26">
        <f t="shared" si="51"/>
        <v>0</v>
      </c>
      <c r="J56" s="26">
        <f t="shared" si="52"/>
        <v>0</v>
      </c>
      <c r="K56" s="26">
        <v>0</v>
      </c>
      <c r="L56" s="26">
        <f t="shared" si="53"/>
        <v>0</v>
      </c>
      <c r="Y56" s="27">
        <f t="shared" si="54"/>
        <v>0</v>
      </c>
      <c r="AA56" s="27">
        <f t="shared" si="55"/>
        <v>0</v>
      </c>
      <c r="AB56" s="27">
        <f t="shared" si="56"/>
        <v>0</v>
      </c>
      <c r="AC56" s="27">
        <f t="shared" si="57"/>
        <v>0</v>
      </c>
      <c r="AD56" s="27">
        <f t="shared" si="58"/>
        <v>0</v>
      </c>
      <c r="AE56" s="27">
        <f t="shared" si="59"/>
        <v>0</v>
      </c>
      <c r="AF56" s="27">
        <f t="shared" si="60"/>
        <v>0</v>
      </c>
      <c r="AG56" s="27">
        <f t="shared" si="61"/>
        <v>0</v>
      </c>
      <c r="AH56" s="17"/>
      <c r="AI56" s="26">
        <f t="shared" si="62"/>
        <v>0</v>
      </c>
      <c r="AJ56" s="26">
        <f t="shared" si="63"/>
        <v>0</v>
      </c>
      <c r="AK56" s="26">
        <f t="shared" si="64"/>
        <v>0</v>
      </c>
      <c r="AM56" s="27">
        <v>21</v>
      </c>
      <c r="AN56" s="27">
        <f t="shared" si="74"/>
        <v>0</v>
      </c>
      <c r="AO56" s="27">
        <f t="shared" si="75"/>
        <v>0</v>
      </c>
      <c r="AP56" s="28" t="s">
        <v>13</v>
      </c>
      <c r="AU56" s="27">
        <f t="shared" si="65"/>
        <v>0</v>
      </c>
      <c r="AV56" s="27">
        <f t="shared" si="66"/>
        <v>0</v>
      </c>
      <c r="AW56" s="27">
        <f t="shared" si="67"/>
        <v>0</v>
      </c>
      <c r="AX56" s="29" t="s">
        <v>785</v>
      </c>
      <c r="AY56" s="29" t="s">
        <v>793</v>
      </c>
      <c r="AZ56" s="17" t="s">
        <v>796</v>
      </c>
      <c r="BB56" s="27">
        <f t="shared" si="68"/>
        <v>0</v>
      </c>
      <c r="BC56" s="27">
        <f t="shared" si="69"/>
        <v>0</v>
      </c>
      <c r="BD56" s="27">
        <v>0</v>
      </c>
      <c r="BE56" s="27">
        <f t="shared" si="70"/>
        <v>0</v>
      </c>
      <c r="BG56" s="26">
        <f t="shared" si="71"/>
        <v>0</v>
      </c>
      <c r="BH56" s="26">
        <f t="shared" si="72"/>
        <v>0</v>
      </c>
      <c r="BI56" s="26">
        <f t="shared" si="73"/>
        <v>0</v>
      </c>
    </row>
    <row r="57" spans="1:61" ht="12.75">
      <c r="A57" s="24" t="s">
        <v>48</v>
      </c>
      <c r="B57" s="25"/>
      <c r="C57" s="25" t="s">
        <v>295</v>
      </c>
      <c r="D57" s="25" t="s">
        <v>542</v>
      </c>
      <c r="E57" s="25" t="s">
        <v>750</v>
      </c>
      <c r="F57" s="26">
        <v>1</v>
      </c>
      <c r="G57" s="1">
        <v>0</v>
      </c>
      <c r="H57" s="26">
        <f t="shared" si="50"/>
        <v>0</v>
      </c>
      <c r="I57" s="26">
        <f t="shared" si="51"/>
        <v>0</v>
      </c>
      <c r="J57" s="26">
        <f t="shared" si="52"/>
        <v>0</v>
      </c>
      <c r="K57" s="26">
        <v>0</v>
      </c>
      <c r="L57" s="26">
        <f t="shared" si="53"/>
        <v>0</v>
      </c>
      <c r="Y57" s="27">
        <f t="shared" si="54"/>
        <v>0</v>
      </c>
      <c r="AA57" s="27">
        <f t="shared" si="55"/>
        <v>0</v>
      </c>
      <c r="AB57" s="27">
        <f t="shared" si="56"/>
        <v>0</v>
      </c>
      <c r="AC57" s="27">
        <f t="shared" si="57"/>
        <v>0</v>
      </c>
      <c r="AD57" s="27">
        <f t="shared" si="58"/>
        <v>0</v>
      </c>
      <c r="AE57" s="27">
        <f t="shared" si="59"/>
        <v>0</v>
      </c>
      <c r="AF57" s="27">
        <f t="shared" si="60"/>
        <v>0</v>
      </c>
      <c r="AG57" s="27">
        <f t="shared" si="61"/>
        <v>0</v>
      </c>
      <c r="AH57" s="17"/>
      <c r="AI57" s="26">
        <f t="shared" si="62"/>
        <v>0</v>
      </c>
      <c r="AJ57" s="26">
        <f t="shared" si="63"/>
        <v>0</v>
      </c>
      <c r="AK57" s="26">
        <f t="shared" si="64"/>
        <v>0</v>
      </c>
      <c r="AM57" s="27">
        <v>21</v>
      </c>
      <c r="AN57" s="27">
        <f t="shared" si="74"/>
        <v>0</v>
      </c>
      <c r="AO57" s="27">
        <f t="shared" si="75"/>
        <v>0</v>
      </c>
      <c r="AP57" s="28" t="s">
        <v>13</v>
      </c>
      <c r="AU57" s="27">
        <f t="shared" si="65"/>
        <v>0</v>
      </c>
      <c r="AV57" s="27">
        <f t="shared" si="66"/>
        <v>0</v>
      </c>
      <c r="AW57" s="27">
        <f t="shared" si="67"/>
        <v>0</v>
      </c>
      <c r="AX57" s="29" t="s">
        <v>785</v>
      </c>
      <c r="AY57" s="29" t="s">
        <v>793</v>
      </c>
      <c r="AZ57" s="17" t="s">
        <v>796</v>
      </c>
      <c r="BB57" s="27">
        <f t="shared" si="68"/>
        <v>0</v>
      </c>
      <c r="BC57" s="27">
        <f t="shared" si="69"/>
        <v>0</v>
      </c>
      <c r="BD57" s="27">
        <v>0</v>
      </c>
      <c r="BE57" s="27">
        <f t="shared" si="70"/>
        <v>0</v>
      </c>
      <c r="BG57" s="26">
        <f t="shared" si="71"/>
        <v>0</v>
      </c>
      <c r="BH57" s="26">
        <f t="shared" si="72"/>
        <v>0</v>
      </c>
      <c r="BI57" s="26">
        <f t="shared" si="73"/>
        <v>0</v>
      </c>
    </row>
    <row r="58" spans="1:61" ht="12.75">
      <c r="A58" s="24" t="s">
        <v>49</v>
      </c>
      <c r="B58" s="25"/>
      <c r="C58" s="25" t="s">
        <v>296</v>
      </c>
      <c r="D58" s="25" t="s">
        <v>543</v>
      </c>
      <c r="E58" s="25" t="s">
        <v>750</v>
      </c>
      <c r="F58" s="26">
        <v>1</v>
      </c>
      <c r="G58" s="1">
        <v>0</v>
      </c>
      <c r="H58" s="26">
        <f t="shared" si="50"/>
        <v>0</v>
      </c>
      <c r="I58" s="26">
        <f t="shared" si="51"/>
        <v>0</v>
      </c>
      <c r="J58" s="26">
        <f t="shared" si="52"/>
        <v>0</v>
      </c>
      <c r="K58" s="26">
        <v>0</v>
      </c>
      <c r="L58" s="26">
        <f t="shared" si="53"/>
        <v>0</v>
      </c>
      <c r="Y58" s="27">
        <f t="shared" si="54"/>
        <v>0</v>
      </c>
      <c r="AA58" s="27">
        <f t="shared" si="55"/>
        <v>0</v>
      </c>
      <c r="AB58" s="27">
        <f t="shared" si="56"/>
        <v>0</v>
      </c>
      <c r="AC58" s="27">
        <f t="shared" si="57"/>
        <v>0</v>
      </c>
      <c r="AD58" s="27">
        <f t="shared" si="58"/>
        <v>0</v>
      </c>
      <c r="AE58" s="27">
        <f t="shared" si="59"/>
        <v>0</v>
      </c>
      <c r="AF58" s="27">
        <f t="shared" si="60"/>
        <v>0</v>
      </c>
      <c r="AG58" s="27">
        <f t="shared" si="61"/>
        <v>0</v>
      </c>
      <c r="AH58" s="17"/>
      <c r="AI58" s="26">
        <f t="shared" si="62"/>
        <v>0</v>
      </c>
      <c r="AJ58" s="26">
        <f t="shared" si="63"/>
        <v>0</v>
      </c>
      <c r="AK58" s="26">
        <f t="shared" si="64"/>
        <v>0</v>
      </c>
      <c r="AM58" s="27">
        <v>21</v>
      </c>
      <c r="AN58" s="27">
        <f t="shared" si="74"/>
        <v>0</v>
      </c>
      <c r="AO58" s="27">
        <f t="shared" si="75"/>
        <v>0</v>
      </c>
      <c r="AP58" s="28" t="s">
        <v>13</v>
      </c>
      <c r="AU58" s="27">
        <f t="shared" si="65"/>
        <v>0</v>
      </c>
      <c r="AV58" s="27">
        <f t="shared" si="66"/>
        <v>0</v>
      </c>
      <c r="AW58" s="27">
        <f t="shared" si="67"/>
        <v>0</v>
      </c>
      <c r="AX58" s="29" t="s">
        <v>785</v>
      </c>
      <c r="AY58" s="29" t="s">
        <v>793</v>
      </c>
      <c r="AZ58" s="17" t="s">
        <v>796</v>
      </c>
      <c r="BB58" s="27">
        <f t="shared" si="68"/>
        <v>0</v>
      </c>
      <c r="BC58" s="27">
        <f t="shared" si="69"/>
        <v>0</v>
      </c>
      <c r="BD58" s="27">
        <v>0</v>
      </c>
      <c r="BE58" s="27">
        <f t="shared" si="70"/>
        <v>0</v>
      </c>
      <c r="BG58" s="26">
        <f t="shared" si="71"/>
        <v>0</v>
      </c>
      <c r="BH58" s="26">
        <f t="shared" si="72"/>
        <v>0</v>
      </c>
      <c r="BI58" s="26">
        <f t="shared" si="73"/>
        <v>0</v>
      </c>
    </row>
    <row r="59" spans="1:61" ht="12.75">
      <c r="A59" s="24" t="s">
        <v>50</v>
      </c>
      <c r="B59" s="25"/>
      <c r="C59" s="25" t="s">
        <v>297</v>
      </c>
      <c r="D59" s="25" t="s">
        <v>544</v>
      </c>
      <c r="E59" s="25" t="s">
        <v>753</v>
      </c>
      <c r="F59" s="26">
        <v>1</v>
      </c>
      <c r="G59" s="1">
        <v>0</v>
      </c>
      <c r="H59" s="26">
        <f t="shared" si="50"/>
        <v>0</v>
      </c>
      <c r="I59" s="26">
        <f t="shared" si="51"/>
        <v>0</v>
      </c>
      <c r="J59" s="26">
        <f t="shared" si="52"/>
        <v>0</v>
      </c>
      <c r="K59" s="26">
        <v>0</v>
      </c>
      <c r="L59" s="26">
        <f t="shared" si="53"/>
        <v>0</v>
      </c>
      <c r="Y59" s="27">
        <f t="shared" si="54"/>
        <v>0</v>
      </c>
      <c r="AA59" s="27">
        <f t="shared" si="55"/>
        <v>0</v>
      </c>
      <c r="AB59" s="27">
        <f t="shared" si="56"/>
        <v>0</v>
      </c>
      <c r="AC59" s="27">
        <f t="shared" si="57"/>
        <v>0</v>
      </c>
      <c r="AD59" s="27">
        <f t="shared" si="58"/>
        <v>0</v>
      </c>
      <c r="AE59" s="27">
        <f t="shared" si="59"/>
        <v>0</v>
      </c>
      <c r="AF59" s="27">
        <f t="shared" si="60"/>
        <v>0</v>
      </c>
      <c r="AG59" s="27">
        <f t="shared" si="61"/>
        <v>0</v>
      </c>
      <c r="AH59" s="17"/>
      <c r="AI59" s="26">
        <f t="shared" si="62"/>
        <v>0</v>
      </c>
      <c r="AJ59" s="26">
        <f t="shared" si="63"/>
        <v>0</v>
      </c>
      <c r="AK59" s="26">
        <f t="shared" si="64"/>
        <v>0</v>
      </c>
      <c r="AM59" s="27">
        <v>21</v>
      </c>
      <c r="AN59" s="27">
        <f t="shared" si="74"/>
        <v>0</v>
      </c>
      <c r="AO59" s="27">
        <f t="shared" si="75"/>
        <v>0</v>
      </c>
      <c r="AP59" s="28" t="s">
        <v>13</v>
      </c>
      <c r="AU59" s="27">
        <f t="shared" si="65"/>
        <v>0</v>
      </c>
      <c r="AV59" s="27">
        <f t="shared" si="66"/>
        <v>0</v>
      </c>
      <c r="AW59" s="27">
        <f t="shared" si="67"/>
        <v>0</v>
      </c>
      <c r="AX59" s="29" t="s">
        <v>785</v>
      </c>
      <c r="AY59" s="29" t="s">
        <v>793</v>
      </c>
      <c r="AZ59" s="17" t="s">
        <v>796</v>
      </c>
      <c r="BB59" s="27">
        <f t="shared" si="68"/>
        <v>0</v>
      </c>
      <c r="BC59" s="27">
        <f t="shared" si="69"/>
        <v>0</v>
      </c>
      <c r="BD59" s="27">
        <v>0</v>
      </c>
      <c r="BE59" s="27">
        <f t="shared" si="70"/>
        <v>0</v>
      </c>
      <c r="BG59" s="26">
        <f t="shared" si="71"/>
        <v>0</v>
      </c>
      <c r="BH59" s="26">
        <f t="shared" si="72"/>
        <v>0</v>
      </c>
      <c r="BI59" s="26">
        <f t="shared" si="73"/>
        <v>0</v>
      </c>
    </row>
    <row r="60" spans="1:61" ht="12.75">
      <c r="A60" s="24" t="s">
        <v>51</v>
      </c>
      <c r="B60" s="25"/>
      <c r="C60" s="25" t="s">
        <v>298</v>
      </c>
      <c r="D60" s="25" t="s">
        <v>545</v>
      </c>
      <c r="E60" s="25" t="s">
        <v>753</v>
      </c>
      <c r="F60" s="26">
        <v>1</v>
      </c>
      <c r="G60" s="1">
        <v>0</v>
      </c>
      <c r="H60" s="26">
        <f t="shared" si="50"/>
        <v>0</v>
      </c>
      <c r="I60" s="26">
        <f t="shared" si="51"/>
        <v>0</v>
      </c>
      <c r="J60" s="26">
        <f t="shared" si="52"/>
        <v>0</v>
      </c>
      <c r="K60" s="26">
        <v>0</v>
      </c>
      <c r="L60" s="26">
        <f t="shared" si="53"/>
        <v>0</v>
      </c>
      <c r="Y60" s="27">
        <f t="shared" si="54"/>
        <v>0</v>
      </c>
      <c r="AA60" s="27">
        <f t="shared" si="55"/>
        <v>0</v>
      </c>
      <c r="AB60" s="27">
        <f t="shared" si="56"/>
        <v>0</v>
      </c>
      <c r="AC60" s="27">
        <f t="shared" si="57"/>
        <v>0</v>
      </c>
      <c r="AD60" s="27">
        <f t="shared" si="58"/>
        <v>0</v>
      </c>
      <c r="AE60" s="27">
        <f t="shared" si="59"/>
        <v>0</v>
      </c>
      <c r="AF60" s="27">
        <f t="shared" si="60"/>
        <v>0</v>
      </c>
      <c r="AG60" s="27">
        <f t="shared" si="61"/>
        <v>0</v>
      </c>
      <c r="AH60" s="17"/>
      <c r="AI60" s="26">
        <f t="shared" si="62"/>
        <v>0</v>
      </c>
      <c r="AJ60" s="26">
        <f t="shared" si="63"/>
        <v>0</v>
      </c>
      <c r="AK60" s="26">
        <f t="shared" si="64"/>
        <v>0</v>
      </c>
      <c r="AM60" s="27">
        <v>21</v>
      </c>
      <c r="AN60" s="27">
        <f t="shared" si="74"/>
        <v>0</v>
      </c>
      <c r="AO60" s="27">
        <f t="shared" si="75"/>
        <v>0</v>
      </c>
      <c r="AP60" s="28" t="s">
        <v>13</v>
      </c>
      <c r="AU60" s="27">
        <f t="shared" si="65"/>
        <v>0</v>
      </c>
      <c r="AV60" s="27">
        <f t="shared" si="66"/>
        <v>0</v>
      </c>
      <c r="AW60" s="27">
        <f t="shared" si="67"/>
        <v>0</v>
      </c>
      <c r="AX60" s="29" t="s">
        <v>785</v>
      </c>
      <c r="AY60" s="29" t="s">
        <v>793</v>
      </c>
      <c r="AZ60" s="17" t="s">
        <v>796</v>
      </c>
      <c r="BB60" s="27">
        <f t="shared" si="68"/>
        <v>0</v>
      </c>
      <c r="BC60" s="27">
        <f t="shared" si="69"/>
        <v>0</v>
      </c>
      <c r="BD60" s="27">
        <v>0</v>
      </c>
      <c r="BE60" s="27">
        <f t="shared" si="70"/>
        <v>0</v>
      </c>
      <c r="BG60" s="26">
        <f t="shared" si="71"/>
        <v>0</v>
      </c>
      <c r="BH60" s="26">
        <f t="shared" si="72"/>
        <v>0</v>
      </c>
      <c r="BI60" s="26">
        <f t="shared" si="73"/>
        <v>0</v>
      </c>
    </row>
    <row r="61" spans="1:61" ht="12.75">
      <c r="A61" s="24" t="s">
        <v>52</v>
      </c>
      <c r="B61" s="25"/>
      <c r="C61" s="25" t="s">
        <v>299</v>
      </c>
      <c r="D61" s="25" t="s">
        <v>546</v>
      </c>
      <c r="E61" s="25" t="s">
        <v>753</v>
      </c>
      <c r="F61" s="26">
        <v>1</v>
      </c>
      <c r="G61" s="1">
        <v>0</v>
      </c>
      <c r="H61" s="26">
        <f t="shared" si="50"/>
        <v>0</v>
      </c>
      <c r="I61" s="26">
        <f t="shared" si="51"/>
        <v>0</v>
      </c>
      <c r="J61" s="26">
        <f t="shared" si="52"/>
        <v>0</v>
      </c>
      <c r="K61" s="26">
        <v>0</v>
      </c>
      <c r="L61" s="26">
        <f t="shared" si="53"/>
        <v>0</v>
      </c>
      <c r="Y61" s="27">
        <f t="shared" si="54"/>
        <v>0</v>
      </c>
      <c r="AA61" s="27">
        <f t="shared" si="55"/>
        <v>0</v>
      </c>
      <c r="AB61" s="27">
        <f t="shared" si="56"/>
        <v>0</v>
      </c>
      <c r="AC61" s="27">
        <f t="shared" si="57"/>
        <v>0</v>
      </c>
      <c r="AD61" s="27">
        <f t="shared" si="58"/>
        <v>0</v>
      </c>
      <c r="AE61" s="27">
        <f t="shared" si="59"/>
        <v>0</v>
      </c>
      <c r="AF61" s="27">
        <f t="shared" si="60"/>
        <v>0</v>
      </c>
      <c r="AG61" s="27">
        <f t="shared" si="61"/>
        <v>0</v>
      </c>
      <c r="AH61" s="17"/>
      <c r="AI61" s="26">
        <f t="shared" si="62"/>
        <v>0</v>
      </c>
      <c r="AJ61" s="26">
        <f t="shared" si="63"/>
        <v>0</v>
      </c>
      <c r="AK61" s="26">
        <f t="shared" si="64"/>
        <v>0</v>
      </c>
      <c r="AM61" s="27">
        <v>21</v>
      </c>
      <c r="AN61" s="27">
        <f t="shared" si="74"/>
        <v>0</v>
      </c>
      <c r="AO61" s="27">
        <f t="shared" si="75"/>
        <v>0</v>
      </c>
      <c r="AP61" s="28" t="s">
        <v>13</v>
      </c>
      <c r="AU61" s="27">
        <f t="shared" si="65"/>
        <v>0</v>
      </c>
      <c r="AV61" s="27">
        <f t="shared" si="66"/>
        <v>0</v>
      </c>
      <c r="AW61" s="27">
        <f t="shared" si="67"/>
        <v>0</v>
      </c>
      <c r="AX61" s="29" t="s">
        <v>785</v>
      </c>
      <c r="AY61" s="29" t="s">
        <v>793</v>
      </c>
      <c r="AZ61" s="17" t="s">
        <v>796</v>
      </c>
      <c r="BB61" s="27">
        <f t="shared" si="68"/>
        <v>0</v>
      </c>
      <c r="BC61" s="27">
        <f t="shared" si="69"/>
        <v>0</v>
      </c>
      <c r="BD61" s="27">
        <v>0</v>
      </c>
      <c r="BE61" s="27">
        <f t="shared" si="70"/>
        <v>0</v>
      </c>
      <c r="BG61" s="26">
        <f t="shared" si="71"/>
        <v>0</v>
      </c>
      <c r="BH61" s="26">
        <f t="shared" si="72"/>
        <v>0</v>
      </c>
      <c r="BI61" s="26">
        <f t="shared" si="73"/>
        <v>0</v>
      </c>
    </row>
    <row r="62" spans="1:61" ht="12.75">
      <c r="A62" s="24" t="s">
        <v>53</v>
      </c>
      <c r="B62" s="25"/>
      <c r="C62" s="25" t="s">
        <v>300</v>
      </c>
      <c r="D62" s="25" t="s">
        <v>547</v>
      </c>
      <c r="E62" s="25" t="s">
        <v>753</v>
      </c>
      <c r="F62" s="26">
        <v>1</v>
      </c>
      <c r="G62" s="1">
        <v>0</v>
      </c>
      <c r="H62" s="26">
        <f t="shared" si="50"/>
        <v>0</v>
      </c>
      <c r="I62" s="26">
        <f t="shared" si="51"/>
        <v>0</v>
      </c>
      <c r="J62" s="26">
        <f t="shared" si="52"/>
        <v>0</v>
      </c>
      <c r="K62" s="26">
        <v>0</v>
      </c>
      <c r="L62" s="26">
        <f t="shared" si="53"/>
        <v>0</v>
      </c>
      <c r="Y62" s="27">
        <f t="shared" si="54"/>
        <v>0</v>
      </c>
      <c r="AA62" s="27">
        <f t="shared" si="55"/>
        <v>0</v>
      </c>
      <c r="AB62" s="27">
        <f t="shared" si="56"/>
        <v>0</v>
      </c>
      <c r="AC62" s="27">
        <f t="shared" si="57"/>
        <v>0</v>
      </c>
      <c r="AD62" s="27">
        <f t="shared" si="58"/>
        <v>0</v>
      </c>
      <c r="AE62" s="27">
        <f t="shared" si="59"/>
        <v>0</v>
      </c>
      <c r="AF62" s="27">
        <f t="shared" si="60"/>
        <v>0</v>
      </c>
      <c r="AG62" s="27">
        <f t="shared" si="61"/>
        <v>0</v>
      </c>
      <c r="AH62" s="17"/>
      <c r="AI62" s="26">
        <f t="shared" si="62"/>
        <v>0</v>
      </c>
      <c r="AJ62" s="26">
        <f t="shared" si="63"/>
        <v>0</v>
      </c>
      <c r="AK62" s="26">
        <f t="shared" si="64"/>
        <v>0</v>
      </c>
      <c r="AM62" s="27">
        <v>21</v>
      </c>
      <c r="AN62" s="27">
        <f t="shared" si="74"/>
        <v>0</v>
      </c>
      <c r="AO62" s="27">
        <f t="shared" si="75"/>
        <v>0</v>
      </c>
      <c r="AP62" s="28" t="s">
        <v>13</v>
      </c>
      <c r="AU62" s="27">
        <f t="shared" si="65"/>
        <v>0</v>
      </c>
      <c r="AV62" s="27">
        <f t="shared" si="66"/>
        <v>0</v>
      </c>
      <c r="AW62" s="27">
        <f t="shared" si="67"/>
        <v>0</v>
      </c>
      <c r="AX62" s="29" t="s">
        <v>785</v>
      </c>
      <c r="AY62" s="29" t="s">
        <v>793</v>
      </c>
      <c r="AZ62" s="17" t="s">
        <v>796</v>
      </c>
      <c r="BB62" s="27">
        <f t="shared" si="68"/>
        <v>0</v>
      </c>
      <c r="BC62" s="27">
        <f t="shared" si="69"/>
        <v>0</v>
      </c>
      <c r="BD62" s="27">
        <v>0</v>
      </c>
      <c r="BE62" s="27">
        <f t="shared" si="70"/>
        <v>0</v>
      </c>
      <c r="BG62" s="26">
        <f t="shared" si="71"/>
        <v>0</v>
      </c>
      <c r="BH62" s="26">
        <f t="shared" si="72"/>
        <v>0</v>
      </c>
      <c r="BI62" s="26">
        <f t="shared" si="73"/>
        <v>0</v>
      </c>
    </row>
    <row r="63" spans="1:61" ht="12.75">
      <c r="A63" s="24" t="s">
        <v>54</v>
      </c>
      <c r="B63" s="25"/>
      <c r="C63" s="25" t="s">
        <v>301</v>
      </c>
      <c r="D63" s="25" t="s">
        <v>548</v>
      </c>
      <c r="E63" s="25" t="s">
        <v>753</v>
      </c>
      <c r="F63" s="26">
        <v>1</v>
      </c>
      <c r="G63" s="1">
        <v>0</v>
      </c>
      <c r="H63" s="26">
        <f t="shared" si="50"/>
        <v>0</v>
      </c>
      <c r="I63" s="26">
        <f t="shared" si="51"/>
        <v>0</v>
      </c>
      <c r="J63" s="26">
        <f t="shared" si="52"/>
        <v>0</v>
      </c>
      <c r="K63" s="26">
        <v>0</v>
      </c>
      <c r="L63" s="26">
        <f t="shared" si="53"/>
        <v>0</v>
      </c>
      <c r="Y63" s="27">
        <f t="shared" si="54"/>
        <v>0</v>
      </c>
      <c r="AA63" s="27">
        <f t="shared" si="55"/>
        <v>0</v>
      </c>
      <c r="AB63" s="27">
        <f t="shared" si="56"/>
        <v>0</v>
      </c>
      <c r="AC63" s="27">
        <f t="shared" si="57"/>
        <v>0</v>
      </c>
      <c r="AD63" s="27">
        <f t="shared" si="58"/>
        <v>0</v>
      </c>
      <c r="AE63" s="27">
        <f t="shared" si="59"/>
        <v>0</v>
      </c>
      <c r="AF63" s="27">
        <f t="shared" si="60"/>
        <v>0</v>
      </c>
      <c r="AG63" s="27">
        <f t="shared" si="61"/>
        <v>0</v>
      </c>
      <c r="AH63" s="17"/>
      <c r="AI63" s="26">
        <f t="shared" si="62"/>
        <v>0</v>
      </c>
      <c r="AJ63" s="26">
        <f t="shared" si="63"/>
        <v>0</v>
      </c>
      <c r="AK63" s="26">
        <f t="shared" si="64"/>
        <v>0</v>
      </c>
      <c r="AM63" s="27">
        <v>21</v>
      </c>
      <c r="AN63" s="27">
        <f t="shared" si="74"/>
        <v>0</v>
      </c>
      <c r="AO63" s="27">
        <f t="shared" si="75"/>
        <v>0</v>
      </c>
      <c r="AP63" s="28" t="s">
        <v>13</v>
      </c>
      <c r="AU63" s="27">
        <f t="shared" si="65"/>
        <v>0</v>
      </c>
      <c r="AV63" s="27">
        <f t="shared" si="66"/>
        <v>0</v>
      </c>
      <c r="AW63" s="27">
        <f t="shared" si="67"/>
        <v>0</v>
      </c>
      <c r="AX63" s="29" t="s">
        <v>785</v>
      </c>
      <c r="AY63" s="29" t="s">
        <v>793</v>
      </c>
      <c r="AZ63" s="17" t="s">
        <v>796</v>
      </c>
      <c r="BB63" s="27">
        <f t="shared" si="68"/>
        <v>0</v>
      </c>
      <c r="BC63" s="27">
        <f t="shared" si="69"/>
        <v>0</v>
      </c>
      <c r="BD63" s="27">
        <v>0</v>
      </c>
      <c r="BE63" s="27">
        <f t="shared" si="70"/>
        <v>0</v>
      </c>
      <c r="BG63" s="26">
        <f t="shared" si="71"/>
        <v>0</v>
      </c>
      <c r="BH63" s="26">
        <f t="shared" si="72"/>
        <v>0</v>
      </c>
      <c r="BI63" s="26">
        <f t="shared" si="73"/>
        <v>0</v>
      </c>
    </row>
    <row r="64" spans="1:61" ht="12.75">
      <c r="A64" s="24" t="s">
        <v>55</v>
      </c>
      <c r="B64" s="25"/>
      <c r="C64" s="25" t="s">
        <v>302</v>
      </c>
      <c r="D64" s="25" t="s">
        <v>549</v>
      </c>
      <c r="E64" s="25" t="s">
        <v>753</v>
      </c>
      <c r="F64" s="26">
        <v>1</v>
      </c>
      <c r="G64" s="1">
        <v>0</v>
      </c>
      <c r="H64" s="26">
        <f t="shared" si="50"/>
        <v>0</v>
      </c>
      <c r="I64" s="26">
        <f t="shared" si="51"/>
        <v>0</v>
      </c>
      <c r="J64" s="26">
        <f t="shared" si="52"/>
        <v>0</v>
      </c>
      <c r="K64" s="26">
        <v>0</v>
      </c>
      <c r="L64" s="26">
        <f t="shared" si="53"/>
        <v>0</v>
      </c>
      <c r="Y64" s="27">
        <f t="shared" si="54"/>
        <v>0</v>
      </c>
      <c r="AA64" s="27">
        <f t="shared" si="55"/>
        <v>0</v>
      </c>
      <c r="AB64" s="27">
        <f t="shared" si="56"/>
        <v>0</v>
      </c>
      <c r="AC64" s="27">
        <f t="shared" si="57"/>
        <v>0</v>
      </c>
      <c r="AD64" s="27">
        <f t="shared" si="58"/>
        <v>0</v>
      </c>
      <c r="AE64" s="27">
        <f t="shared" si="59"/>
        <v>0</v>
      </c>
      <c r="AF64" s="27">
        <f t="shared" si="60"/>
        <v>0</v>
      </c>
      <c r="AG64" s="27">
        <f t="shared" si="61"/>
        <v>0</v>
      </c>
      <c r="AH64" s="17"/>
      <c r="AI64" s="26">
        <f t="shared" si="62"/>
        <v>0</v>
      </c>
      <c r="AJ64" s="26">
        <f t="shared" si="63"/>
        <v>0</v>
      </c>
      <c r="AK64" s="26">
        <f t="shared" si="64"/>
        <v>0</v>
      </c>
      <c r="AM64" s="27">
        <v>21</v>
      </c>
      <c r="AN64" s="27">
        <f t="shared" si="74"/>
        <v>0</v>
      </c>
      <c r="AO64" s="27">
        <f t="shared" si="75"/>
        <v>0</v>
      </c>
      <c r="AP64" s="28" t="s">
        <v>13</v>
      </c>
      <c r="AU64" s="27">
        <f t="shared" si="65"/>
        <v>0</v>
      </c>
      <c r="AV64" s="27">
        <f t="shared" si="66"/>
        <v>0</v>
      </c>
      <c r="AW64" s="27">
        <f t="shared" si="67"/>
        <v>0</v>
      </c>
      <c r="AX64" s="29" t="s">
        <v>785</v>
      </c>
      <c r="AY64" s="29" t="s">
        <v>793</v>
      </c>
      <c r="AZ64" s="17" t="s">
        <v>796</v>
      </c>
      <c r="BB64" s="27">
        <f t="shared" si="68"/>
        <v>0</v>
      </c>
      <c r="BC64" s="27">
        <f t="shared" si="69"/>
        <v>0</v>
      </c>
      <c r="BD64" s="27">
        <v>0</v>
      </c>
      <c r="BE64" s="27">
        <f t="shared" si="70"/>
        <v>0</v>
      </c>
      <c r="BG64" s="26">
        <f t="shared" si="71"/>
        <v>0</v>
      </c>
      <c r="BH64" s="26">
        <f t="shared" si="72"/>
        <v>0</v>
      </c>
      <c r="BI64" s="26">
        <f t="shared" si="73"/>
        <v>0</v>
      </c>
    </row>
    <row r="65" spans="1:61" ht="12.75">
      <c r="A65" s="24" t="s">
        <v>56</v>
      </c>
      <c r="B65" s="25"/>
      <c r="C65" s="25" t="s">
        <v>303</v>
      </c>
      <c r="D65" s="25" t="s">
        <v>550</v>
      </c>
      <c r="E65" s="25" t="s">
        <v>753</v>
      </c>
      <c r="F65" s="26">
        <v>1</v>
      </c>
      <c r="G65" s="1">
        <v>0</v>
      </c>
      <c r="H65" s="26">
        <f t="shared" si="50"/>
        <v>0</v>
      </c>
      <c r="I65" s="26">
        <f t="shared" si="51"/>
        <v>0</v>
      </c>
      <c r="J65" s="26">
        <f t="shared" si="52"/>
        <v>0</v>
      </c>
      <c r="K65" s="26">
        <v>0</v>
      </c>
      <c r="L65" s="26">
        <f t="shared" si="53"/>
        <v>0</v>
      </c>
      <c r="Y65" s="27">
        <f t="shared" si="54"/>
        <v>0</v>
      </c>
      <c r="AA65" s="27">
        <f t="shared" si="55"/>
        <v>0</v>
      </c>
      <c r="AB65" s="27">
        <f t="shared" si="56"/>
        <v>0</v>
      </c>
      <c r="AC65" s="27">
        <f t="shared" si="57"/>
        <v>0</v>
      </c>
      <c r="AD65" s="27">
        <f t="shared" si="58"/>
        <v>0</v>
      </c>
      <c r="AE65" s="27">
        <f t="shared" si="59"/>
        <v>0</v>
      </c>
      <c r="AF65" s="27">
        <f t="shared" si="60"/>
        <v>0</v>
      </c>
      <c r="AG65" s="27">
        <f t="shared" si="61"/>
        <v>0</v>
      </c>
      <c r="AH65" s="17"/>
      <c r="AI65" s="26">
        <f t="shared" si="62"/>
        <v>0</v>
      </c>
      <c r="AJ65" s="26">
        <f t="shared" si="63"/>
        <v>0</v>
      </c>
      <c r="AK65" s="26">
        <f t="shared" si="64"/>
        <v>0</v>
      </c>
      <c r="AM65" s="27">
        <v>21</v>
      </c>
      <c r="AN65" s="27">
        <f t="shared" si="74"/>
        <v>0</v>
      </c>
      <c r="AO65" s="27">
        <f t="shared" si="75"/>
        <v>0</v>
      </c>
      <c r="AP65" s="28" t="s">
        <v>13</v>
      </c>
      <c r="AU65" s="27">
        <f t="shared" si="65"/>
        <v>0</v>
      </c>
      <c r="AV65" s="27">
        <f t="shared" si="66"/>
        <v>0</v>
      </c>
      <c r="AW65" s="27">
        <f t="shared" si="67"/>
        <v>0</v>
      </c>
      <c r="AX65" s="29" t="s">
        <v>785</v>
      </c>
      <c r="AY65" s="29" t="s">
        <v>793</v>
      </c>
      <c r="AZ65" s="17" t="s">
        <v>796</v>
      </c>
      <c r="BB65" s="27">
        <f t="shared" si="68"/>
        <v>0</v>
      </c>
      <c r="BC65" s="27">
        <f t="shared" si="69"/>
        <v>0</v>
      </c>
      <c r="BD65" s="27">
        <v>0</v>
      </c>
      <c r="BE65" s="27">
        <f t="shared" si="70"/>
        <v>0</v>
      </c>
      <c r="BG65" s="26">
        <f t="shared" si="71"/>
        <v>0</v>
      </c>
      <c r="BH65" s="26">
        <f t="shared" si="72"/>
        <v>0</v>
      </c>
      <c r="BI65" s="26">
        <f t="shared" si="73"/>
        <v>0</v>
      </c>
    </row>
    <row r="66" spans="1:61" ht="12.75">
      <c r="A66" s="24" t="s">
        <v>57</v>
      </c>
      <c r="B66" s="25"/>
      <c r="C66" s="25" t="s">
        <v>304</v>
      </c>
      <c r="D66" s="25" t="s">
        <v>551</v>
      </c>
      <c r="E66" s="25" t="s">
        <v>753</v>
      </c>
      <c r="F66" s="26">
        <v>1</v>
      </c>
      <c r="G66" s="1">
        <v>0</v>
      </c>
      <c r="H66" s="26">
        <f t="shared" si="50"/>
        <v>0</v>
      </c>
      <c r="I66" s="26">
        <f t="shared" si="51"/>
        <v>0</v>
      </c>
      <c r="J66" s="26">
        <f t="shared" si="52"/>
        <v>0</v>
      </c>
      <c r="K66" s="26">
        <v>0</v>
      </c>
      <c r="L66" s="26">
        <f t="shared" si="53"/>
        <v>0</v>
      </c>
      <c r="Y66" s="27">
        <f t="shared" si="54"/>
        <v>0</v>
      </c>
      <c r="AA66" s="27">
        <f t="shared" si="55"/>
        <v>0</v>
      </c>
      <c r="AB66" s="27">
        <f t="shared" si="56"/>
        <v>0</v>
      </c>
      <c r="AC66" s="27">
        <f t="shared" si="57"/>
        <v>0</v>
      </c>
      <c r="AD66" s="27">
        <f t="shared" si="58"/>
        <v>0</v>
      </c>
      <c r="AE66" s="27">
        <f t="shared" si="59"/>
        <v>0</v>
      </c>
      <c r="AF66" s="27">
        <f t="shared" si="60"/>
        <v>0</v>
      </c>
      <c r="AG66" s="27">
        <f t="shared" si="61"/>
        <v>0</v>
      </c>
      <c r="AH66" s="17"/>
      <c r="AI66" s="26">
        <f t="shared" si="62"/>
        <v>0</v>
      </c>
      <c r="AJ66" s="26">
        <f t="shared" si="63"/>
        <v>0</v>
      </c>
      <c r="AK66" s="26">
        <f t="shared" si="64"/>
        <v>0</v>
      </c>
      <c r="AM66" s="27">
        <v>21</v>
      </c>
      <c r="AN66" s="27">
        <f t="shared" si="74"/>
        <v>0</v>
      </c>
      <c r="AO66" s="27">
        <f t="shared" si="75"/>
        <v>0</v>
      </c>
      <c r="AP66" s="28" t="s">
        <v>13</v>
      </c>
      <c r="AU66" s="27">
        <f t="shared" si="65"/>
        <v>0</v>
      </c>
      <c r="AV66" s="27">
        <f t="shared" si="66"/>
        <v>0</v>
      </c>
      <c r="AW66" s="27">
        <f t="shared" si="67"/>
        <v>0</v>
      </c>
      <c r="AX66" s="29" t="s">
        <v>785</v>
      </c>
      <c r="AY66" s="29" t="s">
        <v>793</v>
      </c>
      <c r="AZ66" s="17" t="s">
        <v>796</v>
      </c>
      <c r="BB66" s="27">
        <f t="shared" si="68"/>
        <v>0</v>
      </c>
      <c r="BC66" s="27">
        <f t="shared" si="69"/>
        <v>0</v>
      </c>
      <c r="BD66" s="27">
        <v>0</v>
      </c>
      <c r="BE66" s="27">
        <f t="shared" si="70"/>
        <v>0</v>
      </c>
      <c r="BG66" s="26">
        <f t="shared" si="71"/>
        <v>0</v>
      </c>
      <c r="BH66" s="26">
        <f t="shared" si="72"/>
        <v>0</v>
      </c>
      <c r="BI66" s="26">
        <f t="shared" si="73"/>
        <v>0</v>
      </c>
    </row>
    <row r="67" spans="1:61" ht="12.75">
      <c r="A67" s="24" t="s">
        <v>58</v>
      </c>
      <c r="B67" s="25"/>
      <c r="C67" s="25" t="s">
        <v>305</v>
      </c>
      <c r="D67" s="25" t="s">
        <v>552</v>
      </c>
      <c r="E67" s="25" t="s">
        <v>753</v>
      </c>
      <c r="F67" s="26">
        <v>1</v>
      </c>
      <c r="G67" s="1">
        <v>0</v>
      </c>
      <c r="H67" s="26">
        <f t="shared" si="50"/>
        <v>0</v>
      </c>
      <c r="I67" s="26">
        <f t="shared" si="51"/>
        <v>0</v>
      </c>
      <c r="J67" s="26">
        <f t="shared" si="52"/>
        <v>0</v>
      </c>
      <c r="K67" s="26">
        <v>0</v>
      </c>
      <c r="L67" s="26">
        <f t="shared" si="53"/>
        <v>0</v>
      </c>
      <c r="Y67" s="27">
        <f t="shared" si="54"/>
        <v>0</v>
      </c>
      <c r="AA67" s="27">
        <f t="shared" si="55"/>
        <v>0</v>
      </c>
      <c r="AB67" s="27">
        <f t="shared" si="56"/>
        <v>0</v>
      </c>
      <c r="AC67" s="27">
        <f t="shared" si="57"/>
        <v>0</v>
      </c>
      <c r="AD67" s="27">
        <f t="shared" si="58"/>
        <v>0</v>
      </c>
      <c r="AE67" s="27">
        <f t="shared" si="59"/>
        <v>0</v>
      </c>
      <c r="AF67" s="27">
        <f t="shared" si="60"/>
        <v>0</v>
      </c>
      <c r="AG67" s="27">
        <f t="shared" si="61"/>
        <v>0</v>
      </c>
      <c r="AH67" s="17"/>
      <c r="AI67" s="26">
        <f t="shared" si="62"/>
        <v>0</v>
      </c>
      <c r="AJ67" s="26">
        <f t="shared" si="63"/>
        <v>0</v>
      </c>
      <c r="AK67" s="26">
        <f t="shared" si="64"/>
        <v>0</v>
      </c>
      <c r="AM67" s="27">
        <v>21</v>
      </c>
      <c r="AN67" s="27">
        <f t="shared" si="74"/>
        <v>0</v>
      </c>
      <c r="AO67" s="27">
        <f t="shared" si="75"/>
        <v>0</v>
      </c>
      <c r="AP67" s="28" t="s">
        <v>13</v>
      </c>
      <c r="AU67" s="27">
        <f t="shared" si="65"/>
        <v>0</v>
      </c>
      <c r="AV67" s="27">
        <f t="shared" si="66"/>
        <v>0</v>
      </c>
      <c r="AW67" s="27">
        <f t="shared" si="67"/>
        <v>0</v>
      </c>
      <c r="AX67" s="29" t="s">
        <v>785</v>
      </c>
      <c r="AY67" s="29" t="s">
        <v>793</v>
      </c>
      <c r="AZ67" s="17" t="s">
        <v>796</v>
      </c>
      <c r="BB67" s="27">
        <f t="shared" si="68"/>
        <v>0</v>
      </c>
      <c r="BC67" s="27">
        <f t="shared" si="69"/>
        <v>0</v>
      </c>
      <c r="BD67" s="27">
        <v>0</v>
      </c>
      <c r="BE67" s="27">
        <f t="shared" si="70"/>
        <v>0</v>
      </c>
      <c r="BG67" s="26">
        <f t="shared" si="71"/>
        <v>0</v>
      </c>
      <c r="BH67" s="26">
        <f t="shared" si="72"/>
        <v>0</v>
      </c>
      <c r="BI67" s="26">
        <f t="shared" si="73"/>
        <v>0</v>
      </c>
    </row>
    <row r="68" spans="1:61" ht="12.75">
      <c r="A68" s="24" t="s">
        <v>59</v>
      </c>
      <c r="B68" s="25"/>
      <c r="C68" s="25" t="s">
        <v>306</v>
      </c>
      <c r="D68" s="25" t="s">
        <v>553</v>
      </c>
      <c r="E68" s="25" t="s">
        <v>753</v>
      </c>
      <c r="F68" s="26">
        <v>1</v>
      </c>
      <c r="G68" s="1">
        <v>0</v>
      </c>
      <c r="H68" s="26">
        <f t="shared" si="50"/>
        <v>0</v>
      </c>
      <c r="I68" s="26">
        <f t="shared" si="51"/>
        <v>0</v>
      </c>
      <c r="J68" s="26">
        <f t="shared" si="52"/>
        <v>0</v>
      </c>
      <c r="K68" s="26">
        <v>0</v>
      </c>
      <c r="L68" s="26">
        <f t="shared" si="53"/>
        <v>0</v>
      </c>
      <c r="Y68" s="27">
        <f t="shared" si="54"/>
        <v>0</v>
      </c>
      <c r="AA68" s="27">
        <f t="shared" si="55"/>
        <v>0</v>
      </c>
      <c r="AB68" s="27">
        <f t="shared" si="56"/>
        <v>0</v>
      </c>
      <c r="AC68" s="27">
        <f t="shared" si="57"/>
        <v>0</v>
      </c>
      <c r="AD68" s="27">
        <f t="shared" si="58"/>
        <v>0</v>
      </c>
      <c r="AE68" s="27">
        <f t="shared" si="59"/>
        <v>0</v>
      </c>
      <c r="AF68" s="27">
        <f t="shared" si="60"/>
        <v>0</v>
      </c>
      <c r="AG68" s="27">
        <f t="shared" si="61"/>
        <v>0</v>
      </c>
      <c r="AH68" s="17"/>
      <c r="AI68" s="26">
        <f t="shared" si="62"/>
        <v>0</v>
      </c>
      <c r="AJ68" s="26">
        <f t="shared" si="63"/>
        <v>0</v>
      </c>
      <c r="AK68" s="26">
        <f t="shared" si="64"/>
        <v>0</v>
      </c>
      <c r="AM68" s="27">
        <v>21</v>
      </c>
      <c r="AN68" s="27">
        <f t="shared" si="74"/>
        <v>0</v>
      </c>
      <c r="AO68" s="27">
        <f t="shared" si="75"/>
        <v>0</v>
      </c>
      <c r="AP68" s="28" t="s">
        <v>13</v>
      </c>
      <c r="AU68" s="27">
        <f t="shared" si="65"/>
        <v>0</v>
      </c>
      <c r="AV68" s="27">
        <f t="shared" si="66"/>
        <v>0</v>
      </c>
      <c r="AW68" s="27">
        <f t="shared" si="67"/>
        <v>0</v>
      </c>
      <c r="AX68" s="29" t="s">
        <v>785</v>
      </c>
      <c r="AY68" s="29" t="s">
        <v>793</v>
      </c>
      <c r="AZ68" s="17" t="s">
        <v>796</v>
      </c>
      <c r="BB68" s="27">
        <f t="shared" si="68"/>
        <v>0</v>
      </c>
      <c r="BC68" s="27">
        <f t="shared" si="69"/>
        <v>0</v>
      </c>
      <c r="BD68" s="27">
        <v>0</v>
      </c>
      <c r="BE68" s="27">
        <f t="shared" si="70"/>
        <v>0</v>
      </c>
      <c r="BG68" s="26">
        <f t="shared" si="71"/>
        <v>0</v>
      </c>
      <c r="BH68" s="26">
        <f t="shared" si="72"/>
        <v>0</v>
      </c>
      <c r="BI68" s="26">
        <f t="shared" si="73"/>
        <v>0</v>
      </c>
    </row>
    <row r="69" spans="1:61" ht="12.75">
      <c r="A69" s="24" t="s">
        <v>60</v>
      </c>
      <c r="B69" s="25"/>
      <c r="C69" s="25" t="s">
        <v>307</v>
      </c>
      <c r="D69" s="25" t="s">
        <v>554</v>
      </c>
      <c r="E69" s="25" t="s">
        <v>753</v>
      </c>
      <c r="F69" s="26">
        <v>1</v>
      </c>
      <c r="G69" s="1">
        <v>0</v>
      </c>
      <c r="H69" s="26">
        <f t="shared" si="50"/>
        <v>0</v>
      </c>
      <c r="I69" s="26">
        <f t="shared" si="51"/>
        <v>0</v>
      </c>
      <c r="J69" s="26">
        <f t="shared" si="52"/>
        <v>0</v>
      </c>
      <c r="K69" s="26">
        <v>0</v>
      </c>
      <c r="L69" s="26">
        <f t="shared" si="53"/>
        <v>0</v>
      </c>
      <c r="Y69" s="27">
        <f t="shared" si="54"/>
        <v>0</v>
      </c>
      <c r="AA69" s="27">
        <f t="shared" si="55"/>
        <v>0</v>
      </c>
      <c r="AB69" s="27">
        <f t="shared" si="56"/>
        <v>0</v>
      </c>
      <c r="AC69" s="27">
        <f t="shared" si="57"/>
        <v>0</v>
      </c>
      <c r="AD69" s="27">
        <f t="shared" si="58"/>
        <v>0</v>
      </c>
      <c r="AE69" s="27">
        <f t="shared" si="59"/>
        <v>0</v>
      </c>
      <c r="AF69" s="27">
        <f t="shared" si="60"/>
        <v>0</v>
      </c>
      <c r="AG69" s="27">
        <f t="shared" si="61"/>
        <v>0</v>
      </c>
      <c r="AH69" s="17"/>
      <c r="AI69" s="26">
        <f t="shared" si="62"/>
        <v>0</v>
      </c>
      <c r="AJ69" s="26">
        <f t="shared" si="63"/>
        <v>0</v>
      </c>
      <c r="AK69" s="26">
        <f t="shared" si="64"/>
        <v>0</v>
      </c>
      <c r="AM69" s="27">
        <v>21</v>
      </c>
      <c r="AN69" s="27">
        <f t="shared" si="74"/>
        <v>0</v>
      </c>
      <c r="AO69" s="27">
        <f t="shared" si="75"/>
        <v>0</v>
      </c>
      <c r="AP69" s="28" t="s">
        <v>13</v>
      </c>
      <c r="AU69" s="27">
        <f t="shared" si="65"/>
        <v>0</v>
      </c>
      <c r="AV69" s="27">
        <f t="shared" si="66"/>
        <v>0</v>
      </c>
      <c r="AW69" s="27">
        <f t="shared" si="67"/>
        <v>0</v>
      </c>
      <c r="AX69" s="29" t="s">
        <v>785</v>
      </c>
      <c r="AY69" s="29" t="s">
        <v>793</v>
      </c>
      <c r="AZ69" s="17" t="s">
        <v>796</v>
      </c>
      <c r="BB69" s="27">
        <f t="shared" si="68"/>
        <v>0</v>
      </c>
      <c r="BC69" s="27">
        <f t="shared" si="69"/>
        <v>0</v>
      </c>
      <c r="BD69" s="27">
        <v>0</v>
      </c>
      <c r="BE69" s="27">
        <f t="shared" si="70"/>
        <v>0</v>
      </c>
      <c r="BG69" s="26">
        <f t="shared" si="71"/>
        <v>0</v>
      </c>
      <c r="BH69" s="26">
        <f t="shared" si="72"/>
        <v>0</v>
      </c>
      <c r="BI69" s="26">
        <f t="shared" si="73"/>
        <v>0</v>
      </c>
    </row>
    <row r="70" spans="1:61" ht="12.75">
      <c r="A70" s="24" t="s">
        <v>61</v>
      </c>
      <c r="B70" s="25"/>
      <c r="C70" s="25" t="s">
        <v>308</v>
      </c>
      <c r="D70" s="25" t="s">
        <v>555</v>
      </c>
      <c r="E70" s="25" t="s">
        <v>753</v>
      </c>
      <c r="F70" s="26">
        <v>1</v>
      </c>
      <c r="G70" s="1">
        <v>0</v>
      </c>
      <c r="H70" s="26">
        <f t="shared" si="50"/>
        <v>0</v>
      </c>
      <c r="I70" s="26">
        <f t="shared" si="51"/>
        <v>0</v>
      </c>
      <c r="J70" s="26">
        <f t="shared" si="52"/>
        <v>0</v>
      </c>
      <c r="K70" s="26">
        <v>0</v>
      </c>
      <c r="L70" s="26">
        <f t="shared" si="53"/>
        <v>0</v>
      </c>
      <c r="Y70" s="27">
        <f t="shared" si="54"/>
        <v>0</v>
      </c>
      <c r="AA70" s="27">
        <f t="shared" si="55"/>
        <v>0</v>
      </c>
      <c r="AB70" s="27">
        <f t="shared" si="56"/>
        <v>0</v>
      </c>
      <c r="AC70" s="27">
        <f t="shared" si="57"/>
        <v>0</v>
      </c>
      <c r="AD70" s="27">
        <f t="shared" si="58"/>
        <v>0</v>
      </c>
      <c r="AE70" s="27">
        <f t="shared" si="59"/>
        <v>0</v>
      </c>
      <c r="AF70" s="27">
        <f t="shared" si="60"/>
        <v>0</v>
      </c>
      <c r="AG70" s="27">
        <f t="shared" si="61"/>
        <v>0</v>
      </c>
      <c r="AH70" s="17"/>
      <c r="AI70" s="26">
        <f t="shared" si="62"/>
        <v>0</v>
      </c>
      <c r="AJ70" s="26">
        <f t="shared" si="63"/>
        <v>0</v>
      </c>
      <c r="AK70" s="26">
        <f t="shared" si="64"/>
        <v>0</v>
      </c>
      <c r="AM70" s="27">
        <v>21</v>
      </c>
      <c r="AN70" s="27">
        <f t="shared" si="74"/>
        <v>0</v>
      </c>
      <c r="AO70" s="27">
        <f t="shared" si="75"/>
        <v>0</v>
      </c>
      <c r="AP70" s="28" t="s">
        <v>13</v>
      </c>
      <c r="AU70" s="27">
        <f t="shared" si="65"/>
        <v>0</v>
      </c>
      <c r="AV70" s="27">
        <f t="shared" si="66"/>
        <v>0</v>
      </c>
      <c r="AW70" s="27">
        <f t="shared" si="67"/>
        <v>0</v>
      </c>
      <c r="AX70" s="29" t="s">
        <v>785</v>
      </c>
      <c r="AY70" s="29" t="s">
        <v>793</v>
      </c>
      <c r="AZ70" s="17" t="s">
        <v>796</v>
      </c>
      <c r="BB70" s="27">
        <f t="shared" si="68"/>
        <v>0</v>
      </c>
      <c r="BC70" s="27">
        <f t="shared" si="69"/>
        <v>0</v>
      </c>
      <c r="BD70" s="27">
        <v>0</v>
      </c>
      <c r="BE70" s="27">
        <f t="shared" si="70"/>
        <v>0</v>
      </c>
      <c r="BG70" s="26">
        <f t="shared" si="71"/>
        <v>0</v>
      </c>
      <c r="BH70" s="26">
        <f t="shared" si="72"/>
        <v>0</v>
      </c>
      <c r="BI70" s="26">
        <f t="shared" si="73"/>
        <v>0</v>
      </c>
    </row>
    <row r="71" spans="1:61" ht="12.75">
      <c r="A71" s="24" t="s">
        <v>62</v>
      </c>
      <c r="B71" s="25"/>
      <c r="C71" s="25" t="s">
        <v>309</v>
      </c>
      <c r="D71" s="25" t="s">
        <v>556</v>
      </c>
      <c r="E71" s="25" t="s">
        <v>753</v>
      </c>
      <c r="F71" s="26">
        <v>1</v>
      </c>
      <c r="G71" s="1">
        <v>0</v>
      </c>
      <c r="H71" s="26">
        <f t="shared" si="50"/>
        <v>0</v>
      </c>
      <c r="I71" s="26">
        <f t="shared" si="51"/>
        <v>0</v>
      </c>
      <c r="J71" s="26">
        <f t="shared" si="52"/>
        <v>0</v>
      </c>
      <c r="K71" s="26">
        <v>0</v>
      </c>
      <c r="L71" s="26">
        <f t="shared" si="53"/>
        <v>0</v>
      </c>
      <c r="Y71" s="27">
        <f t="shared" si="54"/>
        <v>0</v>
      </c>
      <c r="AA71" s="27">
        <f t="shared" si="55"/>
        <v>0</v>
      </c>
      <c r="AB71" s="27">
        <f t="shared" si="56"/>
        <v>0</v>
      </c>
      <c r="AC71" s="27">
        <f t="shared" si="57"/>
        <v>0</v>
      </c>
      <c r="AD71" s="27">
        <f t="shared" si="58"/>
        <v>0</v>
      </c>
      <c r="AE71" s="27">
        <f t="shared" si="59"/>
        <v>0</v>
      </c>
      <c r="AF71" s="27">
        <f t="shared" si="60"/>
        <v>0</v>
      </c>
      <c r="AG71" s="27">
        <f t="shared" si="61"/>
        <v>0</v>
      </c>
      <c r="AH71" s="17"/>
      <c r="AI71" s="26">
        <f t="shared" si="62"/>
        <v>0</v>
      </c>
      <c r="AJ71" s="26">
        <f t="shared" si="63"/>
        <v>0</v>
      </c>
      <c r="AK71" s="26">
        <f t="shared" si="64"/>
        <v>0</v>
      </c>
      <c r="AM71" s="27">
        <v>21</v>
      </c>
      <c r="AN71" s="27">
        <f t="shared" si="74"/>
        <v>0</v>
      </c>
      <c r="AO71" s="27">
        <f t="shared" si="75"/>
        <v>0</v>
      </c>
      <c r="AP71" s="28" t="s">
        <v>13</v>
      </c>
      <c r="AU71" s="27">
        <f t="shared" si="65"/>
        <v>0</v>
      </c>
      <c r="AV71" s="27">
        <f t="shared" si="66"/>
        <v>0</v>
      </c>
      <c r="AW71" s="27">
        <f t="shared" si="67"/>
        <v>0</v>
      </c>
      <c r="AX71" s="29" t="s">
        <v>785</v>
      </c>
      <c r="AY71" s="29" t="s">
        <v>793</v>
      </c>
      <c r="AZ71" s="17" t="s">
        <v>796</v>
      </c>
      <c r="BB71" s="27">
        <f t="shared" si="68"/>
        <v>0</v>
      </c>
      <c r="BC71" s="27">
        <f t="shared" si="69"/>
        <v>0</v>
      </c>
      <c r="BD71" s="27">
        <v>0</v>
      </c>
      <c r="BE71" s="27">
        <f t="shared" si="70"/>
        <v>0</v>
      </c>
      <c r="BG71" s="26">
        <f t="shared" si="71"/>
        <v>0</v>
      </c>
      <c r="BH71" s="26">
        <f t="shared" si="72"/>
        <v>0</v>
      </c>
      <c r="BI71" s="26">
        <f t="shared" si="73"/>
        <v>0</v>
      </c>
    </row>
    <row r="72" spans="1:61" ht="12.75">
      <c r="A72" s="24" t="s">
        <v>63</v>
      </c>
      <c r="B72" s="25"/>
      <c r="C72" s="25" t="s">
        <v>310</v>
      </c>
      <c r="D72" s="25" t="s">
        <v>557</v>
      </c>
      <c r="E72" s="25" t="s">
        <v>753</v>
      </c>
      <c r="F72" s="26">
        <v>1</v>
      </c>
      <c r="G72" s="1">
        <v>0</v>
      </c>
      <c r="H72" s="26">
        <f t="shared" si="50"/>
        <v>0</v>
      </c>
      <c r="I72" s="26">
        <f t="shared" si="51"/>
        <v>0</v>
      </c>
      <c r="J72" s="26">
        <f t="shared" si="52"/>
        <v>0</v>
      </c>
      <c r="K72" s="26">
        <v>0</v>
      </c>
      <c r="L72" s="26">
        <f t="shared" si="53"/>
        <v>0</v>
      </c>
      <c r="Y72" s="27">
        <f t="shared" si="54"/>
        <v>0</v>
      </c>
      <c r="AA72" s="27">
        <f t="shared" si="55"/>
        <v>0</v>
      </c>
      <c r="AB72" s="27">
        <f t="shared" si="56"/>
        <v>0</v>
      </c>
      <c r="AC72" s="27">
        <f t="shared" si="57"/>
        <v>0</v>
      </c>
      <c r="AD72" s="27">
        <f t="shared" si="58"/>
        <v>0</v>
      </c>
      <c r="AE72" s="27">
        <f t="shared" si="59"/>
        <v>0</v>
      </c>
      <c r="AF72" s="27">
        <f t="shared" si="60"/>
        <v>0</v>
      </c>
      <c r="AG72" s="27">
        <f t="shared" si="61"/>
        <v>0</v>
      </c>
      <c r="AH72" s="17"/>
      <c r="AI72" s="26">
        <f t="shared" si="62"/>
        <v>0</v>
      </c>
      <c r="AJ72" s="26">
        <f t="shared" si="63"/>
        <v>0</v>
      </c>
      <c r="AK72" s="26">
        <f t="shared" si="64"/>
        <v>0</v>
      </c>
      <c r="AM72" s="27">
        <v>21</v>
      </c>
      <c r="AN72" s="27">
        <f t="shared" si="74"/>
        <v>0</v>
      </c>
      <c r="AO72" s="27">
        <f t="shared" si="75"/>
        <v>0</v>
      </c>
      <c r="AP72" s="28" t="s">
        <v>13</v>
      </c>
      <c r="AU72" s="27">
        <f t="shared" si="65"/>
        <v>0</v>
      </c>
      <c r="AV72" s="27">
        <f t="shared" si="66"/>
        <v>0</v>
      </c>
      <c r="AW72" s="27">
        <f t="shared" si="67"/>
        <v>0</v>
      </c>
      <c r="AX72" s="29" t="s">
        <v>785</v>
      </c>
      <c r="AY72" s="29" t="s">
        <v>793</v>
      </c>
      <c r="AZ72" s="17" t="s">
        <v>796</v>
      </c>
      <c r="BB72" s="27">
        <f t="shared" si="68"/>
        <v>0</v>
      </c>
      <c r="BC72" s="27">
        <f t="shared" si="69"/>
        <v>0</v>
      </c>
      <c r="BD72" s="27">
        <v>0</v>
      </c>
      <c r="BE72" s="27">
        <f t="shared" si="70"/>
        <v>0</v>
      </c>
      <c r="BG72" s="26">
        <f t="shared" si="71"/>
        <v>0</v>
      </c>
      <c r="BH72" s="26">
        <f t="shared" si="72"/>
        <v>0</v>
      </c>
      <c r="BI72" s="26">
        <f t="shared" si="73"/>
        <v>0</v>
      </c>
    </row>
    <row r="73" spans="1:61" ht="12.75">
      <c r="A73" s="24" t="s">
        <v>64</v>
      </c>
      <c r="B73" s="25"/>
      <c r="C73" s="25" t="s">
        <v>311</v>
      </c>
      <c r="D73" s="25" t="s">
        <v>558</v>
      </c>
      <c r="E73" s="25" t="s">
        <v>753</v>
      </c>
      <c r="F73" s="26">
        <v>1</v>
      </c>
      <c r="G73" s="1">
        <v>0</v>
      </c>
      <c r="H73" s="26">
        <f t="shared" si="50"/>
        <v>0</v>
      </c>
      <c r="I73" s="26">
        <f t="shared" si="51"/>
        <v>0</v>
      </c>
      <c r="J73" s="26">
        <f t="shared" si="52"/>
        <v>0</v>
      </c>
      <c r="K73" s="26">
        <v>0</v>
      </c>
      <c r="L73" s="26">
        <f t="shared" si="53"/>
        <v>0</v>
      </c>
      <c r="Y73" s="27">
        <f t="shared" si="54"/>
        <v>0</v>
      </c>
      <c r="AA73" s="27">
        <f t="shared" si="55"/>
        <v>0</v>
      </c>
      <c r="AB73" s="27">
        <f t="shared" si="56"/>
        <v>0</v>
      </c>
      <c r="AC73" s="27">
        <f t="shared" si="57"/>
        <v>0</v>
      </c>
      <c r="AD73" s="27">
        <f t="shared" si="58"/>
        <v>0</v>
      </c>
      <c r="AE73" s="27">
        <f t="shared" si="59"/>
        <v>0</v>
      </c>
      <c r="AF73" s="27">
        <f t="shared" si="60"/>
        <v>0</v>
      </c>
      <c r="AG73" s="27">
        <f t="shared" si="61"/>
        <v>0</v>
      </c>
      <c r="AH73" s="17"/>
      <c r="AI73" s="26">
        <f t="shared" si="62"/>
        <v>0</v>
      </c>
      <c r="AJ73" s="26">
        <f t="shared" si="63"/>
        <v>0</v>
      </c>
      <c r="AK73" s="26">
        <f t="shared" si="64"/>
        <v>0</v>
      </c>
      <c r="AM73" s="27">
        <v>21</v>
      </c>
      <c r="AN73" s="27">
        <f t="shared" si="74"/>
        <v>0</v>
      </c>
      <c r="AO73" s="27">
        <f t="shared" si="75"/>
        <v>0</v>
      </c>
      <c r="AP73" s="28" t="s">
        <v>13</v>
      </c>
      <c r="AU73" s="27">
        <f t="shared" si="65"/>
        <v>0</v>
      </c>
      <c r="AV73" s="27">
        <f t="shared" si="66"/>
        <v>0</v>
      </c>
      <c r="AW73" s="27">
        <f t="shared" si="67"/>
        <v>0</v>
      </c>
      <c r="AX73" s="29" t="s">
        <v>785</v>
      </c>
      <c r="AY73" s="29" t="s">
        <v>793</v>
      </c>
      <c r="AZ73" s="17" t="s">
        <v>796</v>
      </c>
      <c r="BB73" s="27">
        <f t="shared" si="68"/>
        <v>0</v>
      </c>
      <c r="BC73" s="27">
        <f t="shared" si="69"/>
        <v>0</v>
      </c>
      <c r="BD73" s="27">
        <v>0</v>
      </c>
      <c r="BE73" s="27">
        <f t="shared" si="70"/>
        <v>0</v>
      </c>
      <c r="BG73" s="26">
        <f t="shared" si="71"/>
        <v>0</v>
      </c>
      <c r="BH73" s="26">
        <f t="shared" si="72"/>
        <v>0</v>
      </c>
      <c r="BI73" s="26">
        <f t="shared" si="73"/>
        <v>0</v>
      </c>
    </row>
    <row r="74" spans="1:61" ht="12.75">
      <c r="A74" s="24" t="s">
        <v>65</v>
      </c>
      <c r="B74" s="25"/>
      <c r="C74" s="25" t="s">
        <v>312</v>
      </c>
      <c r="D74" s="25" t="s">
        <v>559</v>
      </c>
      <c r="E74" s="25" t="s">
        <v>753</v>
      </c>
      <c r="F74" s="26">
        <v>1</v>
      </c>
      <c r="G74" s="1">
        <v>0</v>
      </c>
      <c r="H74" s="26">
        <f t="shared" si="50"/>
        <v>0</v>
      </c>
      <c r="I74" s="26">
        <f t="shared" si="51"/>
        <v>0</v>
      </c>
      <c r="J74" s="26">
        <f t="shared" si="52"/>
        <v>0</v>
      </c>
      <c r="K74" s="26">
        <v>0</v>
      </c>
      <c r="L74" s="26">
        <f t="shared" si="53"/>
        <v>0</v>
      </c>
      <c r="Y74" s="27">
        <f t="shared" si="54"/>
        <v>0</v>
      </c>
      <c r="AA74" s="27">
        <f t="shared" si="55"/>
        <v>0</v>
      </c>
      <c r="AB74" s="27">
        <f t="shared" si="56"/>
        <v>0</v>
      </c>
      <c r="AC74" s="27">
        <f t="shared" si="57"/>
        <v>0</v>
      </c>
      <c r="AD74" s="27">
        <f t="shared" si="58"/>
        <v>0</v>
      </c>
      <c r="AE74" s="27">
        <f t="shared" si="59"/>
        <v>0</v>
      </c>
      <c r="AF74" s="27">
        <f t="shared" si="60"/>
        <v>0</v>
      </c>
      <c r="AG74" s="27">
        <f t="shared" si="61"/>
        <v>0</v>
      </c>
      <c r="AH74" s="17"/>
      <c r="AI74" s="26">
        <f t="shared" si="62"/>
        <v>0</v>
      </c>
      <c r="AJ74" s="26">
        <f t="shared" si="63"/>
        <v>0</v>
      </c>
      <c r="AK74" s="26">
        <f t="shared" si="64"/>
        <v>0</v>
      </c>
      <c r="AM74" s="27">
        <v>21</v>
      </c>
      <c r="AN74" s="27">
        <f t="shared" si="74"/>
        <v>0</v>
      </c>
      <c r="AO74" s="27">
        <f t="shared" si="75"/>
        <v>0</v>
      </c>
      <c r="AP74" s="28" t="s">
        <v>13</v>
      </c>
      <c r="AU74" s="27">
        <f t="shared" si="65"/>
        <v>0</v>
      </c>
      <c r="AV74" s="27">
        <f t="shared" si="66"/>
        <v>0</v>
      </c>
      <c r="AW74" s="27">
        <f t="shared" si="67"/>
        <v>0</v>
      </c>
      <c r="AX74" s="29" t="s">
        <v>785</v>
      </c>
      <c r="AY74" s="29" t="s">
        <v>793</v>
      </c>
      <c r="AZ74" s="17" t="s">
        <v>796</v>
      </c>
      <c r="BB74" s="27">
        <f t="shared" si="68"/>
        <v>0</v>
      </c>
      <c r="BC74" s="27">
        <f t="shared" si="69"/>
        <v>0</v>
      </c>
      <c r="BD74" s="27">
        <v>0</v>
      </c>
      <c r="BE74" s="27">
        <f t="shared" si="70"/>
        <v>0</v>
      </c>
      <c r="BG74" s="26">
        <f t="shared" si="71"/>
        <v>0</v>
      </c>
      <c r="BH74" s="26">
        <f t="shared" si="72"/>
        <v>0</v>
      </c>
      <c r="BI74" s="26">
        <f t="shared" si="73"/>
        <v>0</v>
      </c>
    </row>
    <row r="75" spans="1:61" ht="12.75">
      <c r="A75" s="24" t="s">
        <v>66</v>
      </c>
      <c r="B75" s="25"/>
      <c r="C75" s="25" t="s">
        <v>313</v>
      </c>
      <c r="D75" s="25" t="s">
        <v>560</v>
      </c>
      <c r="E75" s="25" t="s">
        <v>753</v>
      </c>
      <c r="F75" s="26">
        <v>1</v>
      </c>
      <c r="G75" s="1">
        <v>0</v>
      </c>
      <c r="H75" s="26">
        <f t="shared" si="50"/>
        <v>0</v>
      </c>
      <c r="I75" s="26">
        <f t="shared" si="51"/>
        <v>0</v>
      </c>
      <c r="J75" s="26">
        <f t="shared" si="52"/>
        <v>0</v>
      </c>
      <c r="K75" s="26">
        <v>0</v>
      </c>
      <c r="L75" s="26">
        <f t="shared" si="53"/>
        <v>0</v>
      </c>
      <c r="Y75" s="27">
        <f t="shared" si="54"/>
        <v>0</v>
      </c>
      <c r="AA75" s="27">
        <f t="shared" si="55"/>
        <v>0</v>
      </c>
      <c r="AB75" s="27">
        <f t="shared" si="56"/>
        <v>0</v>
      </c>
      <c r="AC75" s="27">
        <f t="shared" si="57"/>
        <v>0</v>
      </c>
      <c r="AD75" s="27">
        <f t="shared" si="58"/>
        <v>0</v>
      </c>
      <c r="AE75" s="27">
        <f t="shared" si="59"/>
        <v>0</v>
      </c>
      <c r="AF75" s="27">
        <f t="shared" si="60"/>
        <v>0</v>
      </c>
      <c r="AG75" s="27">
        <f t="shared" si="61"/>
        <v>0</v>
      </c>
      <c r="AH75" s="17"/>
      <c r="AI75" s="26">
        <f t="shared" si="62"/>
        <v>0</v>
      </c>
      <c r="AJ75" s="26">
        <f t="shared" si="63"/>
        <v>0</v>
      </c>
      <c r="AK75" s="26">
        <f t="shared" si="64"/>
        <v>0</v>
      </c>
      <c r="AM75" s="27">
        <v>21</v>
      </c>
      <c r="AN75" s="27">
        <f t="shared" si="74"/>
        <v>0</v>
      </c>
      <c r="AO75" s="27">
        <f t="shared" si="75"/>
        <v>0</v>
      </c>
      <c r="AP75" s="28" t="s">
        <v>13</v>
      </c>
      <c r="AU75" s="27">
        <f t="shared" si="65"/>
        <v>0</v>
      </c>
      <c r="AV75" s="27">
        <f t="shared" si="66"/>
        <v>0</v>
      </c>
      <c r="AW75" s="27">
        <f t="shared" si="67"/>
        <v>0</v>
      </c>
      <c r="AX75" s="29" t="s">
        <v>785</v>
      </c>
      <c r="AY75" s="29" t="s">
        <v>793</v>
      </c>
      <c r="AZ75" s="17" t="s">
        <v>796</v>
      </c>
      <c r="BB75" s="27">
        <f t="shared" si="68"/>
        <v>0</v>
      </c>
      <c r="BC75" s="27">
        <f t="shared" si="69"/>
        <v>0</v>
      </c>
      <c r="BD75" s="27">
        <v>0</v>
      </c>
      <c r="BE75" s="27">
        <f t="shared" si="70"/>
        <v>0</v>
      </c>
      <c r="BG75" s="26">
        <f t="shared" si="71"/>
        <v>0</v>
      </c>
      <c r="BH75" s="26">
        <f t="shared" si="72"/>
        <v>0</v>
      </c>
      <c r="BI75" s="26">
        <f t="shared" si="73"/>
        <v>0</v>
      </c>
    </row>
    <row r="76" spans="1:61" ht="12.75">
      <c r="A76" s="24" t="s">
        <v>67</v>
      </c>
      <c r="B76" s="25"/>
      <c r="C76" s="25" t="s">
        <v>314</v>
      </c>
      <c r="D76" s="25" t="s">
        <v>561</v>
      </c>
      <c r="E76" s="25" t="s">
        <v>753</v>
      </c>
      <c r="F76" s="26">
        <v>1</v>
      </c>
      <c r="G76" s="1">
        <v>0</v>
      </c>
      <c r="H76" s="26">
        <f t="shared" si="50"/>
        <v>0</v>
      </c>
      <c r="I76" s="26">
        <f t="shared" si="51"/>
        <v>0</v>
      </c>
      <c r="J76" s="26">
        <f t="shared" si="52"/>
        <v>0</v>
      </c>
      <c r="K76" s="26">
        <v>0</v>
      </c>
      <c r="L76" s="26">
        <f t="shared" si="53"/>
        <v>0</v>
      </c>
      <c r="Y76" s="27">
        <f t="shared" si="54"/>
        <v>0</v>
      </c>
      <c r="AA76" s="27">
        <f t="shared" si="55"/>
        <v>0</v>
      </c>
      <c r="AB76" s="27">
        <f t="shared" si="56"/>
        <v>0</v>
      </c>
      <c r="AC76" s="27">
        <f t="shared" si="57"/>
        <v>0</v>
      </c>
      <c r="AD76" s="27">
        <f t="shared" si="58"/>
        <v>0</v>
      </c>
      <c r="AE76" s="27">
        <f t="shared" si="59"/>
        <v>0</v>
      </c>
      <c r="AF76" s="27">
        <f t="shared" si="60"/>
        <v>0</v>
      </c>
      <c r="AG76" s="27">
        <f t="shared" si="61"/>
        <v>0</v>
      </c>
      <c r="AH76" s="17"/>
      <c r="AI76" s="26">
        <f t="shared" si="62"/>
        <v>0</v>
      </c>
      <c r="AJ76" s="26">
        <f t="shared" si="63"/>
        <v>0</v>
      </c>
      <c r="AK76" s="26">
        <f t="shared" si="64"/>
        <v>0</v>
      </c>
      <c r="AM76" s="27">
        <v>21</v>
      </c>
      <c r="AN76" s="27">
        <f t="shared" si="74"/>
        <v>0</v>
      </c>
      <c r="AO76" s="27">
        <f t="shared" si="75"/>
        <v>0</v>
      </c>
      <c r="AP76" s="28" t="s">
        <v>13</v>
      </c>
      <c r="AU76" s="27">
        <f t="shared" si="65"/>
        <v>0</v>
      </c>
      <c r="AV76" s="27">
        <f t="shared" si="66"/>
        <v>0</v>
      </c>
      <c r="AW76" s="27">
        <f t="shared" si="67"/>
        <v>0</v>
      </c>
      <c r="AX76" s="29" t="s">
        <v>785</v>
      </c>
      <c r="AY76" s="29" t="s">
        <v>793</v>
      </c>
      <c r="AZ76" s="17" t="s">
        <v>796</v>
      </c>
      <c r="BB76" s="27">
        <f t="shared" si="68"/>
        <v>0</v>
      </c>
      <c r="BC76" s="27">
        <f t="shared" si="69"/>
        <v>0</v>
      </c>
      <c r="BD76" s="27">
        <v>0</v>
      </c>
      <c r="BE76" s="27">
        <f t="shared" si="70"/>
        <v>0</v>
      </c>
      <c r="BG76" s="26">
        <f t="shared" si="71"/>
        <v>0</v>
      </c>
      <c r="BH76" s="26">
        <f t="shared" si="72"/>
        <v>0</v>
      </c>
      <c r="BI76" s="26">
        <f t="shared" si="73"/>
        <v>0</v>
      </c>
    </row>
    <row r="77" spans="1:61" ht="12.75">
      <c r="A77" s="24" t="s">
        <v>68</v>
      </c>
      <c r="B77" s="25"/>
      <c r="C77" s="25" t="s">
        <v>315</v>
      </c>
      <c r="D77" s="25" t="s">
        <v>562</v>
      </c>
      <c r="E77" s="25" t="s">
        <v>753</v>
      </c>
      <c r="F77" s="26">
        <v>1</v>
      </c>
      <c r="G77" s="1">
        <v>0</v>
      </c>
      <c r="H77" s="26">
        <f aca="true" t="shared" si="76" ref="H77:H108">F77*AN77</f>
        <v>0</v>
      </c>
      <c r="I77" s="26">
        <f aca="true" t="shared" si="77" ref="I77:I108">F77*AO77</f>
        <v>0</v>
      </c>
      <c r="J77" s="26">
        <f t="shared" si="52"/>
        <v>0</v>
      </c>
      <c r="K77" s="26">
        <v>0</v>
      </c>
      <c r="L77" s="26">
        <f t="shared" si="53"/>
        <v>0</v>
      </c>
      <c r="Y77" s="27">
        <f t="shared" si="54"/>
        <v>0</v>
      </c>
      <c r="AA77" s="27">
        <f t="shared" si="55"/>
        <v>0</v>
      </c>
      <c r="AB77" s="27">
        <f t="shared" si="56"/>
        <v>0</v>
      </c>
      <c r="AC77" s="27">
        <f t="shared" si="57"/>
        <v>0</v>
      </c>
      <c r="AD77" s="27">
        <f t="shared" si="58"/>
        <v>0</v>
      </c>
      <c r="AE77" s="27">
        <f t="shared" si="59"/>
        <v>0</v>
      </c>
      <c r="AF77" s="27">
        <f t="shared" si="60"/>
        <v>0</v>
      </c>
      <c r="AG77" s="27">
        <f t="shared" si="61"/>
        <v>0</v>
      </c>
      <c r="AH77" s="17"/>
      <c r="AI77" s="26">
        <f aca="true" t="shared" si="78" ref="AI77:AI108">IF(AM77=0,J77,0)</f>
        <v>0</v>
      </c>
      <c r="AJ77" s="26">
        <f aca="true" t="shared" si="79" ref="AJ77:AJ108">IF(AM77=15,J77,0)</f>
        <v>0</v>
      </c>
      <c r="AK77" s="26">
        <f aca="true" t="shared" si="80" ref="AK77:AK108">IF(AM77=21,J77,0)</f>
        <v>0</v>
      </c>
      <c r="AM77" s="27">
        <v>21</v>
      </c>
      <c r="AN77" s="27">
        <f t="shared" si="74"/>
        <v>0</v>
      </c>
      <c r="AO77" s="27">
        <f t="shared" si="75"/>
        <v>0</v>
      </c>
      <c r="AP77" s="28" t="s">
        <v>13</v>
      </c>
      <c r="AU77" s="27">
        <f t="shared" si="65"/>
        <v>0</v>
      </c>
      <c r="AV77" s="27">
        <f aca="true" t="shared" si="81" ref="AV77:AV108">F77*AN77</f>
        <v>0</v>
      </c>
      <c r="AW77" s="27">
        <f aca="true" t="shared" si="82" ref="AW77:AW108">F77*AO77</f>
        <v>0</v>
      </c>
      <c r="AX77" s="29" t="s">
        <v>785</v>
      </c>
      <c r="AY77" s="29" t="s">
        <v>793</v>
      </c>
      <c r="AZ77" s="17" t="s">
        <v>796</v>
      </c>
      <c r="BB77" s="27">
        <f t="shared" si="68"/>
        <v>0</v>
      </c>
      <c r="BC77" s="27">
        <f aca="true" t="shared" si="83" ref="BC77:BC108">G77/(100-BD77)*100</f>
        <v>0</v>
      </c>
      <c r="BD77" s="27">
        <v>0</v>
      </c>
      <c r="BE77" s="27">
        <f t="shared" si="70"/>
        <v>0</v>
      </c>
      <c r="BG77" s="26">
        <f aca="true" t="shared" si="84" ref="BG77:BG108">F77*AN77</f>
        <v>0</v>
      </c>
      <c r="BH77" s="26">
        <f aca="true" t="shared" si="85" ref="BH77:BH108">F77*AO77</f>
        <v>0</v>
      </c>
      <c r="BI77" s="26">
        <f aca="true" t="shared" si="86" ref="BI77:BI108">F77*G77</f>
        <v>0</v>
      </c>
    </row>
    <row r="78" spans="1:61" ht="12.75">
      <c r="A78" s="24" t="s">
        <v>69</v>
      </c>
      <c r="B78" s="25"/>
      <c r="C78" s="25" t="s">
        <v>316</v>
      </c>
      <c r="D78" s="25" t="s">
        <v>563</v>
      </c>
      <c r="E78" s="25" t="s">
        <v>753</v>
      </c>
      <c r="F78" s="26">
        <v>1</v>
      </c>
      <c r="G78" s="1">
        <v>0</v>
      </c>
      <c r="H78" s="26">
        <f t="shared" si="76"/>
        <v>0</v>
      </c>
      <c r="I78" s="26">
        <f t="shared" si="77"/>
        <v>0</v>
      </c>
      <c r="J78" s="26">
        <f t="shared" si="52"/>
        <v>0</v>
      </c>
      <c r="K78" s="26">
        <v>0</v>
      </c>
      <c r="L78" s="26">
        <f t="shared" si="53"/>
        <v>0</v>
      </c>
      <c r="Y78" s="27">
        <f t="shared" si="54"/>
        <v>0</v>
      </c>
      <c r="AA78" s="27">
        <f t="shared" si="55"/>
        <v>0</v>
      </c>
      <c r="AB78" s="27">
        <f t="shared" si="56"/>
        <v>0</v>
      </c>
      <c r="AC78" s="27">
        <f t="shared" si="57"/>
        <v>0</v>
      </c>
      <c r="AD78" s="27">
        <f t="shared" si="58"/>
        <v>0</v>
      </c>
      <c r="AE78" s="27">
        <f t="shared" si="59"/>
        <v>0</v>
      </c>
      <c r="AF78" s="27">
        <f t="shared" si="60"/>
        <v>0</v>
      </c>
      <c r="AG78" s="27">
        <f t="shared" si="61"/>
        <v>0</v>
      </c>
      <c r="AH78" s="17"/>
      <c r="AI78" s="26">
        <f t="shared" si="78"/>
        <v>0</v>
      </c>
      <c r="AJ78" s="26">
        <f t="shared" si="79"/>
        <v>0</v>
      </c>
      <c r="AK78" s="26">
        <f t="shared" si="80"/>
        <v>0</v>
      </c>
      <c r="AM78" s="27">
        <v>21</v>
      </c>
      <c r="AN78" s="27">
        <f t="shared" si="74"/>
        <v>0</v>
      </c>
      <c r="AO78" s="27">
        <f t="shared" si="75"/>
        <v>0</v>
      </c>
      <c r="AP78" s="28" t="s">
        <v>13</v>
      </c>
      <c r="AU78" s="27">
        <f t="shared" si="65"/>
        <v>0</v>
      </c>
      <c r="AV78" s="27">
        <f t="shared" si="81"/>
        <v>0</v>
      </c>
      <c r="AW78" s="27">
        <f t="shared" si="82"/>
        <v>0</v>
      </c>
      <c r="AX78" s="29" t="s">
        <v>785</v>
      </c>
      <c r="AY78" s="29" t="s">
        <v>793</v>
      </c>
      <c r="AZ78" s="17" t="s">
        <v>796</v>
      </c>
      <c r="BB78" s="27">
        <f t="shared" si="68"/>
        <v>0</v>
      </c>
      <c r="BC78" s="27">
        <f t="shared" si="83"/>
        <v>0</v>
      </c>
      <c r="BD78" s="27">
        <v>0</v>
      </c>
      <c r="BE78" s="27">
        <f t="shared" si="70"/>
        <v>0</v>
      </c>
      <c r="BG78" s="26">
        <f t="shared" si="84"/>
        <v>0</v>
      </c>
      <c r="BH78" s="26">
        <f t="shared" si="85"/>
        <v>0</v>
      </c>
      <c r="BI78" s="26">
        <f t="shared" si="86"/>
        <v>0</v>
      </c>
    </row>
    <row r="79" spans="1:61" ht="12.75">
      <c r="A79" s="24" t="s">
        <v>70</v>
      </c>
      <c r="B79" s="25"/>
      <c r="C79" s="25" t="s">
        <v>317</v>
      </c>
      <c r="D79" s="25" t="s">
        <v>564</v>
      </c>
      <c r="E79" s="25" t="s">
        <v>753</v>
      </c>
      <c r="F79" s="26">
        <v>1</v>
      </c>
      <c r="G79" s="1">
        <v>0</v>
      </c>
      <c r="H79" s="26">
        <f t="shared" si="76"/>
        <v>0</v>
      </c>
      <c r="I79" s="26">
        <f t="shared" si="77"/>
        <v>0</v>
      </c>
      <c r="J79" s="26">
        <f t="shared" si="52"/>
        <v>0</v>
      </c>
      <c r="K79" s="26">
        <v>0</v>
      </c>
      <c r="L79" s="26">
        <f t="shared" si="53"/>
        <v>0</v>
      </c>
      <c r="Y79" s="27">
        <f t="shared" si="54"/>
        <v>0</v>
      </c>
      <c r="AA79" s="27">
        <f t="shared" si="55"/>
        <v>0</v>
      </c>
      <c r="AB79" s="27">
        <f t="shared" si="56"/>
        <v>0</v>
      </c>
      <c r="AC79" s="27">
        <f t="shared" si="57"/>
        <v>0</v>
      </c>
      <c r="AD79" s="27">
        <f t="shared" si="58"/>
        <v>0</v>
      </c>
      <c r="AE79" s="27">
        <f t="shared" si="59"/>
        <v>0</v>
      </c>
      <c r="AF79" s="27">
        <f t="shared" si="60"/>
        <v>0</v>
      </c>
      <c r="AG79" s="27">
        <f t="shared" si="61"/>
        <v>0</v>
      </c>
      <c r="AH79" s="17"/>
      <c r="AI79" s="26">
        <f t="shared" si="78"/>
        <v>0</v>
      </c>
      <c r="AJ79" s="26">
        <f t="shared" si="79"/>
        <v>0</v>
      </c>
      <c r="AK79" s="26">
        <f t="shared" si="80"/>
        <v>0</v>
      </c>
      <c r="AM79" s="27">
        <v>21</v>
      </c>
      <c r="AN79" s="27">
        <f t="shared" si="74"/>
        <v>0</v>
      </c>
      <c r="AO79" s="27">
        <f t="shared" si="75"/>
        <v>0</v>
      </c>
      <c r="AP79" s="28" t="s">
        <v>13</v>
      </c>
      <c r="AU79" s="27">
        <f t="shared" si="65"/>
        <v>0</v>
      </c>
      <c r="AV79" s="27">
        <f t="shared" si="81"/>
        <v>0</v>
      </c>
      <c r="AW79" s="27">
        <f t="shared" si="82"/>
        <v>0</v>
      </c>
      <c r="AX79" s="29" t="s">
        <v>785</v>
      </c>
      <c r="AY79" s="29" t="s">
        <v>793</v>
      </c>
      <c r="AZ79" s="17" t="s">
        <v>796</v>
      </c>
      <c r="BB79" s="27">
        <f t="shared" si="68"/>
        <v>0</v>
      </c>
      <c r="BC79" s="27">
        <f t="shared" si="83"/>
        <v>0</v>
      </c>
      <c r="BD79" s="27">
        <v>0</v>
      </c>
      <c r="BE79" s="27">
        <f t="shared" si="70"/>
        <v>0</v>
      </c>
      <c r="BG79" s="26">
        <f t="shared" si="84"/>
        <v>0</v>
      </c>
      <c r="BH79" s="26">
        <f t="shared" si="85"/>
        <v>0</v>
      </c>
      <c r="BI79" s="26">
        <f t="shared" si="86"/>
        <v>0</v>
      </c>
    </row>
    <row r="80" spans="1:61" ht="12.75">
      <c r="A80" s="24" t="s">
        <v>71</v>
      </c>
      <c r="B80" s="25"/>
      <c r="C80" s="25" t="s">
        <v>318</v>
      </c>
      <c r="D80" s="25" t="s">
        <v>565</v>
      </c>
      <c r="E80" s="25" t="s">
        <v>753</v>
      </c>
      <c r="F80" s="26">
        <v>1</v>
      </c>
      <c r="G80" s="1">
        <v>0</v>
      </c>
      <c r="H80" s="26">
        <f t="shared" si="76"/>
        <v>0</v>
      </c>
      <c r="I80" s="26">
        <f t="shared" si="77"/>
        <v>0</v>
      </c>
      <c r="J80" s="26">
        <f t="shared" si="52"/>
        <v>0</v>
      </c>
      <c r="K80" s="26">
        <v>0</v>
      </c>
      <c r="L80" s="26">
        <f t="shared" si="53"/>
        <v>0</v>
      </c>
      <c r="Y80" s="27">
        <f t="shared" si="54"/>
        <v>0</v>
      </c>
      <c r="AA80" s="27">
        <f t="shared" si="55"/>
        <v>0</v>
      </c>
      <c r="AB80" s="27">
        <f t="shared" si="56"/>
        <v>0</v>
      </c>
      <c r="AC80" s="27">
        <f t="shared" si="57"/>
        <v>0</v>
      </c>
      <c r="AD80" s="27">
        <f t="shared" si="58"/>
        <v>0</v>
      </c>
      <c r="AE80" s="27">
        <f t="shared" si="59"/>
        <v>0</v>
      </c>
      <c r="AF80" s="27">
        <f t="shared" si="60"/>
        <v>0</v>
      </c>
      <c r="AG80" s="27">
        <f t="shared" si="61"/>
        <v>0</v>
      </c>
      <c r="AH80" s="17"/>
      <c r="AI80" s="26">
        <f t="shared" si="78"/>
        <v>0</v>
      </c>
      <c r="AJ80" s="26">
        <f t="shared" si="79"/>
        <v>0</v>
      </c>
      <c r="AK80" s="26">
        <f t="shared" si="80"/>
        <v>0</v>
      </c>
      <c r="AM80" s="27">
        <v>21</v>
      </c>
      <c r="AN80" s="27">
        <f t="shared" si="74"/>
        <v>0</v>
      </c>
      <c r="AO80" s="27">
        <f t="shared" si="75"/>
        <v>0</v>
      </c>
      <c r="AP80" s="28" t="s">
        <v>13</v>
      </c>
      <c r="AU80" s="27">
        <f t="shared" si="65"/>
        <v>0</v>
      </c>
      <c r="AV80" s="27">
        <f t="shared" si="81"/>
        <v>0</v>
      </c>
      <c r="AW80" s="27">
        <f t="shared" si="82"/>
        <v>0</v>
      </c>
      <c r="AX80" s="29" t="s">
        <v>785</v>
      </c>
      <c r="AY80" s="29" t="s">
        <v>793</v>
      </c>
      <c r="AZ80" s="17" t="s">
        <v>796</v>
      </c>
      <c r="BB80" s="27">
        <f t="shared" si="68"/>
        <v>0</v>
      </c>
      <c r="BC80" s="27">
        <f t="shared" si="83"/>
        <v>0</v>
      </c>
      <c r="BD80" s="27">
        <v>0</v>
      </c>
      <c r="BE80" s="27">
        <f t="shared" si="70"/>
        <v>0</v>
      </c>
      <c r="BG80" s="26">
        <f t="shared" si="84"/>
        <v>0</v>
      </c>
      <c r="BH80" s="26">
        <f t="shared" si="85"/>
        <v>0</v>
      </c>
      <c r="BI80" s="26">
        <f t="shared" si="86"/>
        <v>0</v>
      </c>
    </row>
    <row r="81" spans="1:61" ht="12.75">
      <c r="A81" s="24" t="s">
        <v>72</v>
      </c>
      <c r="B81" s="25"/>
      <c r="C81" s="25" t="s">
        <v>319</v>
      </c>
      <c r="D81" s="25" t="s">
        <v>566</v>
      </c>
      <c r="E81" s="25" t="s">
        <v>753</v>
      </c>
      <c r="F81" s="26">
        <v>1</v>
      </c>
      <c r="G81" s="1">
        <v>0</v>
      </c>
      <c r="H81" s="26">
        <f t="shared" si="76"/>
        <v>0</v>
      </c>
      <c r="I81" s="26">
        <f t="shared" si="77"/>
        <v>0</v>
      </c>
      <c r="J81" s="26">
        <f t="shared" si="52"/>
        <v>0</v>
      </c>
      <c r="K81" s="26">
        <v>0</v>
      </c>
      <c r="L81" s="26">
        <f t="shared" si="53"/>
        <v>0</v>
      </c>
      <c r="Y81" s="27">
        <f t="shared" si="54"/>
        <v>0</v>
      </c>
      <c r="AA81" s="27">
        <f t="shared" si="55"/>
        <v>0</v>
      </c>
      <c r="AB81" s="27">
        <f t="shared" si="56"/>
        <v>0</v>
      </c>
      <c r="AC81" s="27">
        <f t="shared" si="57"/>
        <v>0</v>
      </c>
      <c r="AD81" s="27">
        <f t="shared" si="58"/>
        <v>0</v>
      </c>
      <c r="AE81" s="27">
        <f t="shared" si="59"/>
        <v>0</v>
      </c>
      <c r="AF81" s="27">
        <f t="shared" si="60"/>
        <v>0</v>
      </c>
      <c r="AG81" s="27">
        <f t="shared" si="61"/>
        <v>0</v>
      </c>
      <c r="AH81" s="17"/>
      <c r="AI81" s="26">
        <f t="shared" si="78"/>
        <v>0</v>
      </c>
      <c r="AJ81" s="26">
        <f t="shared" si="79"/>
        <v>0</v>
      </c>
      <c r="AK81" s="26">
        <f t="shared" si="80"/>
        <v>0</v>
      </c>
      <c r="AM81" s="27">
        <v>21</v>
      </c>
      <c r="AN81" s="27">
        <f t="shared" si="74"/>
        <v>0</v>
      </c>
      <c r="AO81" s="27">
        <f t="shared" si="75"/>
        <v>0</v>
      </c>
      <c r="AP81" s="28" t="s">
        <v>13</v>
      </c>
      <c r="AU81" s="27">
        <f t="shared" si="65"/>
        <v>0</v>
      </c>
      <c r="AV81" s="27">
        <f t="shared" si="81"/>
        <v>0</v>
      </c>
      <c r="AW81" s="27">
        <f t="shared" si="82"/>
        <v>0</v>
      </c>
      <c r="AX81" s="29" t="s">
        <v>785</v>
      </c>
      <c r="AY81" s="29" t="s">
        <v>793</v>
      </c>
      <c r="AZ81" s="17" t="s">
        <v>796</v>
      </c>
      <c r="BB81" s="27">
        <f t="shared" si="68"/>
        <v>0</v>
      </c>
      <c r="BC81" s="27">
        <f t="shared" si="83"/>
        <v>0</v>
      </c>
      <c r="BD81" s="27">
        <v>0</v>
      </c>
      <c r="BE81" s="27">
        <f t="shared" si="70"/>
        <v>0</v>
      </c>
      <c r="BG81" s="26">
        <f t="shared" si="84"/>
        <v>0</v>
      </c>
      <c r="BH81" s="26">
        <f t="shared" si="85"/>
        <v>0</v>
      </c>
      <c r="BI81" s="26">
        <f t="shared" si="86"/>
        <v>0</v>
      </c>
    </row>
    <row r="82" spans="1:61" ht="12.75">
      <c r="A82" s="24" t="s">
        <v>73</v>
      </c>
      <c r="B82" s="25"/>
      <c r="C82" s="25" t="s">
        <v>320</v>
      </c>
      <c r="D82" s="25" t="s">
        <v>567</v>
      </c>
      <c r="E82" s="25" t="s">
        <v>753</v>
      </c>
      <c r="F82" s="26">
        <v>1</v>
      </c>
      <c r="G82" s="1">
        <v>0</v>
      </c>
      <c r="H82" s="26">
        <f t="shared" si="76"/>
        <v>0</v>
      </c>
      <c r="I82" s="26">
        <f t="shared" si="77"/>
        <v>0</v>
      </c>
      <c r="J82" s="26">
        <f t="shared" si="52"/>
        <v>0</v>
      </c>
      <c r="K82" s="26">
        <v>0</v>
      </c>
      <c r="L82" s="26">
        <f t="shared" si="53"/>
        <v>0</v>
      </c>
      <c r="Y82" s="27">
        <f t="shared" si="54"/>
        <v>0</v>
      </c>
      <c r="AA82" s="27">
        <f t="shared" si="55"/>
        <v>0</v>
      </c>
      <c r="AB82" s="27">
        <f t="shared" si="56"/>
        <v>0</v>
      </c>
      <c r="AC82" s="27">
        <f t="shared" si="57"/>
        <v>0</v>
      </c>
      <c r="AD82" s="27">
        <f t="shared" si="58"/>
        <v>0</v>
      </c>
      <c r="AE82" s="27">
        <f t="shared" si="59"/>
        <v>0</v>
      </c>
      <c r="AF82" s="27">
        <f t="shared" si="60"/>
        <v>0</v>
      </c>
      <c r="AG82" s="27">
        <f t="shared" si="61"/>
        <v>0</v>
      </c>
      <c r="AH82" s="17"/>
      <c r="AI82" s="26">
        <f t="shared" si="78"/>
        <v>0</v>
      </c>
      <c r="AJ82" s="26">
        <f t="shared" si="79"/>
        <v>0</v>
      </c>
      <c r="AK82" s="26">
        <f t="shared" si="80"/>
        <v>0</v>
      </c>
      <c r="AM82" s="27">
        <v>21</v>
      </c>
      <c r="AN82" s="27">
        <f t="shared" si="74"/>
        <v>0</v>
      </c>
      <c r="AO82" s="27">
        <f t="shared" si="75"/>
        <v>0</v>
      </c>
      <c r="AP82" s="28" t="s">
        <v>13</v>
      </c>
      <c r="AU82" s="27">
        <f t="shared" si="65"/>
        <v>0</v>
      </c>
      <c r="AV82" s="27">
        <f t="shared" si="81"/>
        <v>0</v>
      </c>
      <c r="AW82" s="27">
        <f t="shared" si="82"/>
        <v>0</v>
      </c>
      <c r="AX82" s="29" t="s">
        <v>785</v>
      </c>
      <c r="AY82" s="29" t="s">
        <v>793</v>
      </c>
      <c r="AZ82" s="17" t="s">
        <v>796</v>
      </c>
      <c r="BB82" s="27">
        <f t="shared" si="68"/>
        <v>0</v>
      </c>
      <c r="BC82" s="27">
        <f t="shared" si="83"/>
        <v>0</v>
      </c>
      <c r="BD82" s="27">
        <v>0</v>
      </c>
      <c r="BE82" s="27">
        <f t="shared" si="70"/>
        <v>0</v>
      </c>
      <c r="BG82" s="26">
        <f t="shared" si="84"/>
        <v>0</v>
      </c>
      <c r="BH82" s="26">
        <f t="shared" si="85"/>
        <v>0</v>
      </c>
      <c r="BI82" s="26">
        <f t="shared" si="86"/>
        <v>0</v>
      </c>
    </row>
    <row r="83" spans="1:61" ht="12.75">
      <c r="A83" s="24" t="s">
        <v>74</v>
      </c>
      <c r="B83" s="25"/>
      <c r="C83" s="25" t="s">
        <v>321</v>
      </c>
      <c r="D83" s="25" t="s">
        <v>568</v>
      </c>
      <c r="E83" s="25" t="s">
        <v>753</v>
      </c>
      <c r="F83" s="26">
        <v>1</v>
      </c>
      <c r="G83" s="1">
        <v>0</v>
      </c>
      <c r="H83" s="26">
        <f t="shared" si="76"/>
        <v>0</v>
      </c>
      <c r="I83" s="26">
        <f t="shared" si="77"/>
        <v>0</v>
      </c>
      <c r="J83" s="26">
        <f t="shared" si="52"/>
        <v>0</v>
      </c>
      <c r="K83" s="26">
        <v>0</v>
      </c>
      <c r="L83" s="26">
        <f t="shared" si="53"/>
        <v>0</v>
      </c>
      <c r="Y83" s="27">
        <f t="shared" si="54"/>
        <v>0</v>
      </c>
      <c r="AA83" s="27">
        <f t="shared" si="55"/>
        <v>0</v>
      </c>
      <c r="AB83" s="27">
        <f t="shared" si="56"/>
        <v>0</v>
      </c>
      <c r="AC83" s="27">
        <f t="shared" si="57"/>
        <v>0</v>
      </c>
      <c r="AD83" s="27">
        <f t="shared" si="58"/>
        <v>0</v>
      </c>
      <c r="AE83" s="27">
        <f t="shared" si="59"/>
        <v>0</v>
      </c>
      <c r="AF83" s="27">
        <f t="shared" si="60"/>
        <v>0</v>
      </c>
      <c r="AG83" s="27">
        <f t="shared" si="61"/>
        <v>0</v>
      </c>
      <c r="AH83" s="17"/>
      <c r="AI83" s="26">
        <f t="shared" si="78"/>
        <v>0</v>
      </c>
      <c r="AJ83" s="26">
        <f t="shared" si="79"/>
        <v>0</v>
      </c>
      <c r="AK83" s="26">
        <f t="shared" si="80"/>
        <v>0</v>
      </c>
      <c r="AM83" s="27">
        <v>21</v>
      </c>
      <c r="AN83" s="27">
        <f t="shared" si="74"/>
        <v>0</v>
      </c>
      <c r="AO83" s="27">
        <f t="shared" si="75"/>
        <v>0</v>
      </c>
      <c r="AP83" s="28" t="s">
        <v>13</v>
      </c>
      <c r="AU83" s="27">
        <f t="shared" si="65"/>
        <v>0</v>
      </c>
      <c r="AV83" s="27">
        <f t="shared" si="81"/>
        <v>0</v>
      </c>
      <c r="AW83" s="27">
        <f t="shared" si="82"/>
        <v>0</v>
      </c>
      <c r="AX83" s="29" t="s">
        <v>785</v>
      </c>
      <c r="AY83" s="29" t="s">
        <v>793</v>
      </c>
      <c r="AZ83" s="17" t="s">
        <v>796</v>
      </c>
      <c r="BB83" s="27">
        <f t="shared" si="68"/>
        <v>0</v>
      </c>
      <c r="BC83" s="27">
        <f t="shared" si="83"/>
        <v>0</v>
      </c>
      <c r="BD83" s="27">
        <v>0</v>
      </c>
      <c r="BE83" s="27">
        <f t="shared" si="70"/>
        <v>0</v>
      </c>
      <c r="BG83" s="26">
        <f t="shared" si="84"/>
        <v>0</v>
      </c>
      <c r="BH83" s="26">
        <f t="shared" si="85"/>
        <v>0</v>
      </c>
      <c r="BI83" s="26">
        <f t="shared" si="86"/>
        <v>0</v>
      </c>
    </row>
    <row r="84" spans="1:61" ht="12.75">
      <c r="A84" s="24" t="s">
        <v>75</v>
      </c>
      <c r="B84" s="25"/>
      <c r="C84" s="25" t="s">
        <v>322</v>
      </c>
      <c r="D84" s="25" t="s">
        <v>569</v>
      </c>
      <c r="E84" s="25" t="s">
        <v>753</v>
      </c>
      <c r="F84" s="26">
        <v>1</v>
      </c>
      <c r="G84" s="1">
        <v>0</v>
      </c>
      <c r="H84" s="26">
        <f t="shared" si="76"/>
        <v>0</v>
      </c>
      <c r="I84" s="26">
        <f t="shared" si="77"/>
        <v>0</v>
      </c>
      <c r="J84" s="26">
        <f t="shared" si="52"/>
        <v>0</v>
      </c>
      <c r="K84" s="26">
        <v>0</v>
      </c>
      <c r="L84" s="26">
        <f t="shared" si="53"/>
        <v>0</v>
      </c>
      <c r="Y84" s="27">
        <f t="shared" si="54"/>
        <v>0</v>
      </c>
      <c r="AA84" s="27">
        <f t="shared" si="55"/>
        <v>0</v>
      </c>
      <c r="AB84" s="27">
        <f t="shared" si="56"/>
        <v>0</v>
      </c>
      <c r="AC84" s="27">
        <f t="shared" si="57"/>
        <v>0</v>
      </c>
      <c r="AD84" s="27">
        <f t="shared" si="58"/>
        <v>0</v>
      </c>
      <c r="AE84" s="27">
        <f t="shared" si="59"/>
        <v>0</v>
      </c>
      <c r="AF84" s="27">
        <f t="shared" si="60"/>
        <v>0</v>
      </c>
      <c r="AG84" s="27">
        <f t="shared" si="61"/>
        <v>0</v>
      </c>
      <c r="AH84" s="17"/>
      <c r="AI84" s="26">
        <f t="shared" si="78"/>
        <v>0</v>
      </c>
      <c r="AJ84" s="26">
        <f t="shared" si="79"/>
        <v>0</v>
      </c>
      <c r="AK84" s="26">
        <f t="shared" si="80"/>
        <v>0</v>
      </c>
      <c r="AM84" s="27">
        <v>21</v>
      </c>
      <c r="AN84" s="27">
        <f t="shared" si="74"/>
        <v>0</v>
      </c>
      <c r="AO84" s="27">
        <f t="shared" si="75"/>
        <v>0</v>
      </c>
      <c r="AP84" s="28" t="s">
        <v>13</v>
      </c>
      <c r="AU84" s="27">
        <f t="shared" si="65"/>
        <v>0</v>
      </c>
      <c r="AV84" s="27">
        <f t="shared" si="81"/>
        <v>0</v>
      </c>
      <c r="AW84" s="27">
        <f t="shared" si="82"/>
        <v>0</v>
      </c>
      <c r="AX84" s="29" t="s">
        <v>785</v>
      </c>
      <c r="AY84" s="29" t="s">
        <v>793</v>
      </c>
      <c r="AZ84" s="17" t="s">
        <v>796</v>
      </c>
      <c r="BB84" s="27">
        <f t="shared" si="68"/>
        <v>0</v>
      </c>
      <c r="BC84" s="27">
        <f t="shared" si="83"/>
        <v>0</v>
      </c>
      <c r="BD84" s="27">
        <v>0</v>
      </c>
      <c r="BE84" s="27">
        <f t="shared" si="70"/>
        <v>0</v>
      </c>
      <c r="BG84" s="26">
        <f t="shared" si="84"/>
        <v>0</v>
      </c>
      <c r="BH84" s="26">
        <f t="shared" si="85"/>
        <v>0</v>
      </c>
      <c r="BI84" s="26">
        <f t="shared" si="86"/>
        <v>0</v>
      </c>
    </row>
    <row r="85" spans="1:61" ht="12.75">
      <c r="A85" s="24" t="s">
        <v>76</v>
      </c>
      <c r="B85" s="25"/>
      <c r="C85" s="25" t="s">
        <v>323</v>
      </c>
      <c r="D85" s="25" t="s">
        <v>570</v>
      </c>
      <c r="E85" s="25" t="s">
        <v>753</v>
      </c>
      <c r="F85" s="26">
        <v>1</v>
      </c>
      <c r="G85" s="1">
        <v>0</v>
      </c>
      <c r="H85" s="26">
        <f t="shared" si="76"/>
        <v>0</v>
      </c>
      <c r="I85" s="26">
        <f t="shared" si="77"/>
        <v>0</v>
      </c>
      <c r="J85" s="26">
        <f t="shared" si="52"/>
        <v>0</v>
      </c>
      <c r="K85" s="26">
        <v>1E-05</v>
      </c>
      <c r="L85" s="26">
        <f t="shared" si="53"/>
        <v>1E-05</v>
      </c>
      <c r="Y85" s="27">
        <f t="shared" si="54"/>
        <v>0</v>
      </c>
      <c r="AA85" s="27">
        <f t="shared" si="55"/>
        <v>0</v>
      </c>
      <c r="AB85" s="27">
        <f t="shared" si="56"/>
        <v>0</v>
      </c>
      <c r="AC85" s="27">
        <f t="shared" si="57"/>
        <v>0</v>
      </c>
      <c r="AD85" s="27">
        <f t="shared" si="58"/>
        <v>0</v>
      </c>
      <c r="AE85" s="27">
        <f t="shared" si="59"/>
        <v>0</v>
      </c>
      <c r="AF85" s="27">
        <f t="shared" si="60"/>
        <v>0</v>
      </c>
      <c r="AG85" s="27">
        <f t="shared" si="61"/>
        <v>0</v>
      </c>
      <c r="AH85" s="17"/>
      <c r="AI85" s="26">
        <f t="shared" si="78"/>
        <v>0</v>
      </c>
      <c r="AJ85" s="26">
        <f t="shared" si="79"/>
        <v>0</v>
      </c>
      <c r="AK85" s="26">
        <f t="shared" si="80"/>
        <v>0</v>
      </c>
      <c r="AM85" s="27">
        <v>21</v>
      </c>
      <c r="AN85" s="27">
        <f>G85*0.0276394849785408</f>
        <v>0</v>
      </c>
      <c r="AO85" s="27">
        <f>G85*(1-0.0276394849785408)</f>
        <v>0</v>
      </c>
      <c r="AP85" s="28" t="s">
        <v>13</v>
      </c>
      <c r="AU85" s="27">
        <f t="shared" si="65"/>
        <v>0</v>
      </c>
      <c r="AV85" s="27">
        <f t="shared" si="81"/>
        <v>0</v>
      </c>
      <c r="AW85" s="27">
        <f t="shared" si="82"/>
        <v>0</v>
      </c>
      <c r="AX85" s="29" t="s">
        <v>785</v>
      </c>
      <c r="AY85" s="29" t="s">
        <v>793</v>
      </c>
      <c r="AZ85" s="17" t="s">
        <v>796</v>
      </c>
      <c r="BB85" s="27">
        <f t="shared" si="68"/>
        <v>0</v>
      </c>
      <c r="BC85" s="27">
        <f t="shared" si="83"/>
        <v>0</v>
      </c>
      <c r="BD85" s="27">
        <v>0</v>
      </c>
      <c r="BE85" s="27">
        <f t="shared" si="70"/>
        <v>1E-05</v>
      </c>
      <c r="BG85" s="26">
        <f t="shared" si="84"/>
        <v>0</v>
      </c>
      <c r="BH85" s="26">
        <f t="shared" si="85"/>
        <v>0</v>
      </c>
      <c r="BI85" s="26">
        <f t="shared" si="86"/>
        <v>0</v>
      </c>
    </row>
    <row r="86" spans="1:61" ht="12.75">
      <c r="A86" s="24" t="s">
        <v>77</v>
      </c>
      <c r="B86" s="25"/>
      <c r="C86" s="25" t="s">
        <v>324</v>
      </c>
      <c r="D86" s="25" t="s">
        <v>571</v>
      </c>
      <c r="E86" s="25" t="s">
        <v>753</v>
      </c>
      <c r="F86" s="26">
        <v>1</v>
      </c>
      <c r="G86" s="1">
        <v>0</v>
      </c>
      <c r="H86" s="26">
        <f t="shared" si="76"/>
        <v>0</v>
      </c>
      <c r="I86" s="26">
        <f t="shared" si="77"/>
        <v>0</v>
      </c>
      <c r="J86" s="26">
        <f t="shared" si="52"/>
        <v>0</v>
      </c>
      <c r="K86" s="26">
        <v>1E-05</v>
      </c>
      <c r="L86" s="26">
        <f t="shared" si="53"/>
        <v>1E-05</v>
      </c>
      <c r="Y86" s="27">
        <f t="shared" si="54"/>
        <v>0</v>
      </c>
      <c r="AA86" s="27">
        <f t="shared" si="55"/>
        <v>0</v>
      </c>
      <c r="AB86" s="27">
        <f t="shared" si="56"/>
        <v>0</v>
      </c>
      <c r="AC86" s="27">
        <f t="shared" si="57"/>
        <v>0</v>
      </c>
      <c r="AD86" s="27">
        <f t="shared" si="58"/>
        <v>0</v>
      </c>
      <c r="AE86" s="27">
        <f t="shared" si="59"/>
        <v>0</v>
      </c>
      <c r="AF86" s="27">
        <f t="shared" si="60"/>
        <v>0</v>
      </c>
      <c r="AG86" s="27">
        <f t="shared" si="61"/>
        <v>0</v>
      </c>
      <c r="AH86" s="17"/>
      <c r="AI86" s="26">
        <f t="shared" si="78"/>
        <v>0</v>
      </c>
      <c r="AJ86" s="26">
        <f t="shared" si="79"/>
        <v>0</v>
      </c>
      <c r="AK86" s="26">
        <f t="shared" si="80"/>
        <v>0</v>
      </c>
      <c r="AM86" s="27">
        <v>21</v>
      </c>
      <c r="AN86" s="27">
        <f>G86*0.0257579393648508</f>
        <v>0</v>
      </c>
      <c r="AO86" s="27">
        <f>G86*(1-0.0257579393648508)</f>
        <v>0</v>
      </c>
      <c r="AP86" s="28" t="s">
        <v>13</v>
      </c>
      <c r="AU86" s="27">
        <f t="shared" si="65"/>
        <v>0</v>
      </c>
      <c r="AV86" s="27">
        <f t="shared" si="81"/>
        <v>0</v>
      </c>
      <c r="AW86" s="27">
        <f t="shared" si="82"/>
        <v>0</v>
      </c>
      <c r="AX86" s="29" t="s">
        <v>785</v>
      </c>
      <c r="AY86" s="29" t="s">
        <v>793</v>
      </c>
      <c r="AZ86" s="17" t="s">
        <v>796</v>
      </c>
      <c r="BB86" s="27">
        <f t="shared" si="68"/>
        <v>0</v>
      </c>
      <c r="BC86" s="27">
        <f t="shared" si="83"/>
        <v>0</v>
      </c>
      <c r="BD86" s="27">
        <v>0</v>
      </c>
      <c r="BE86" s="27">
        <f t="shared" si="70"/>
        <v>1E-05</v>
      </c>
      <c r="BG86" s="26">
        <f t="shared" si="84"/>
        <v>0</v>
      </c>
      <c r="BH86" s="26">
        <f t="shared" si="85"/>
        <v>0</v>
      </c>
      <c r="BI86" s="26">
        <f t="shared" si="86"/>
        <v>0</v>
      </c>
    </row>
    <row r="87" spans="1:61" ht="12.75">
      <c r="A87" s="24" t="s">
        <v>78</v>
      </c>
      <c r="B87" s="25"/>
      <c r="C87" s="25" t="s">
        <v>325</v>
      </c>
      <c r="D87" s="25" t="s">
        <v>572</v>
      </c>
      <c r="E87" s="25" t="s">
        <v>753</v>
      </c>
      <c r="F87" s="26">
        <v>1</v>
      </c>
      <c r="G87" s="1">
        <v>0</v>
      </c>
      <c r="H87" s="26">
        <f t="shared" si="76"/>
        <v>0</v>
      </c>
      <c r="I87" s="26">
        <f t="shared" si="77"/>
        <v>0</v>
      </c>
      <c r="J87" s="26">
        <f t="shared" si="52"/>
        <v>0</v>
      </c>
      <c r="K87" s="26">
        <v>2E-05</v>
      </c>
      <c r="L87" s="26">
        <f t="shared" si="53"/>
        <v>2E-05</v>
      </c>
      <c r="Y87" s="27">
        <f t="shared" si="54"/>
        <v>0</v>
      </c>
      <c r="AA87" s="27">
        <f t="shared" si="55"/>
        <v>0</v>
      </c>
      <c r="AB87" s="27">
        <f t="shared" si="56"/>
        <v>0</v>
      </c>
      <c r="AC87" s="27">
        <f t="shared" si="57"/>
        <v>0</v>
      </c>
      <c r="AD87" s="27">
        <f t="shared" si="58"/>
        <v>0</v>
      </c>
      <c r="AE87" s="27">
        <f t="shared" si="59"/>
        <v>0</v>
      </c>
      <c r="AF87" s="27">
        <f t="shared" si="60"/>
        <v>0</v>
      </c>
      <c r="AG87" s="27">
        <f t="shared" si="61"/>
        <v>0</v>
      </c>
      <c r="AH87" s="17"/>
      <c r="AI87" s="26">
        <f t="shared" si="78"/>
        <v>0</v>
      </c>
      <c r="AJ87" s="26">
        <f t="shared" si="79"/>
        <v>0</v>
      </c>
      <c r="AK87" s="26">
        <f t="shared" si="80"/>
        <v>0</v>
      </c>
      <c r="AM87" s="27">
        <v>21</v>
      </c>
      <c r="AN87" s="27">
        <f>G87*0.0406918238993711</f>
        <v>0</v>
      </c>
      <c r="AO87" s="27">
        <f>G87*(1-0.0406918238993711)</f>
        <v>0</v>
      </c>
      <c r="AP87" s="28" t="s">
        <v>13</v>
      </c>
      <c r="AU87" s="27">
        <f t="shared" si="65"/>
        <v>0</v>
      </c>
      <c r="AV87" s="27">
        <f t="shared" si="81"/>
        <v>0</v>
      </c>
      <c r="AW87" s="27">
        <f t="shared" si="82"/>
        <v>0</v>
      </c>
      <c r="AX87" s="29" t="s">
        <v>785</v>
      </c>
      <c r="AY87" s="29" t="s">
        <v>793</v>
      </c>
      <c r="AZ87" s="17" t="s">
        <v>796</v>
      </c>
      <c r="BB87" s="27">
        <f t="shared" si="68"/>
        <v>0</v>
      </c>
      <c r="BC87" s="27">
        <f t="shared" si="83"/>
        <v>0</v>
      </c>
      <c r="BD87" s="27">
        <v>0</v>
      </c>
      <c r="BE87" s="27">
        <f t="shared" si="70"/>
        <v>2E-05</v>
      </c>
      <c r="BG87" s="26">
        <f t="shared" si="84"/>
        <v>0</v>
      </c>
      <c r="BH87" s="26">
        <f t="shared" si="85"/>
        <v>0</v>
      </c>
      <c r="BI87" s="26">
        <f t="shared" si="86"/>
        <v>0</v>
      </c>
    </row>
    <row r="88" spans="1:61" ht="12.75">
      <c r="A88" s="24" t="s">
        <v>79</v>
      </c>
      <c r="B88" s="25"/>
      <c r="C88" s="25" t="s">
        <v>326</v>
      </c>
      <c r="D88" s="25" t="s">
        <v>573</v>
      </c>
      <c r="E88" s="25" t="s">
        <v>753</v>
      </c>
      <c r="F88" s="26">
        <v>1</v>
      </c>
      <c r="G88" s="1">
        <v>0</v>
      </c>
      <c r="H88" s="26">
        <f t="shared" si="76"/>
        <v>0</v>
      </c>
      <c r="I88" s="26">
        <f t="shared" si="77"/>
        <v>0</v>
      </c>
      <c r="J88" s="26">
        <f t="shared" si="52"/>
        <v>0</v>
      </c>
      <c r="K88" s="26">
        <v>2E-05</v>
      </c>
      <c r="L88" s="26">
        <f t="shared" si="53"/>
        <v>2E-05</v>
      </c>
      <c r="Y88" s="27">
        <f t="shared" si="54"/>
        <v>0</v>
      </c>
      <c r="AA88" s="27">
        <f t="shared" si="55"/>
        <v>0</v>
      </c>
      <c r="AB88" s="27">
        <f t="shared" si="56"/>
        <v>0</v>
      </c>
      <c r="AC88" s="27">
        <f t="shared" si="57"/>
        <v>0</v>
      </c>
      <c r="AD88" s="27">
        <f t="shared" si="58"/>
        <v>0</v>
      </c>
      <c r="AE88" s="27">
        <f t="shared" si="59"/>
        <v>0</v>
      </c>
      <c r="AF88" s="27">
        <f t="shared" si="60"/>
        <v>0</v>
      </c>
      <c r="AG88" s="27">
        <f t="shared" si="61"/>
        <v>0</v>
      </c>
      <c r="AH88" s="17"/>
      <c r="AI88" s="26">
        <f t="shared" si="78"/>
        <v>0</v>
      </c>
      <c r="AJ88" s="26">
        <f t="shared" si="79"/>
        <v>0</v>
      </c>
      <c r="AK88" s="26">
        <f t="shared" si="80"/>
        <v>0</v>
      </c>
      <c r="AM88" s="27">
        <v>21</v>
      </c>
      <c r="AN88" s="27">
        <f>G88*0.0386268656716418</f>
        <v>0</v>
      </c>
      <c r="AO88" s="27">
        <f>G88*(1-0.0386268656716418)</f>
        <v>0</v>
      </c>
      <c r="AP88" s="28" t="s">
        <v>13</v>
      </c>
      <c r="AU88" s="27">
        <f t="shared" si="65"/>
        <v>0</v>
      </c>
      <c r="AV88" s="27">
        <f t="shared" si="81"/>
        <v>0</v>
      </c>
      <c r="AW88" s="27">
        <f t="shared" si="82"/>
        <v>0</v>
      </c>
      <c r="AX88" s="29" t="s">
        <v>785</v>
      </c>
      <c r="AY88" s="29" t="s">
        <v>793</v>
      </c>
      <c r="AZ88" s="17" t="s">
        <v>796</v>
      </c>
      <c r="BB88" s="27">
        <f t="shared" si="68"/>
        <v>0</v>
      </c>
      <c r="BC88" s="27">
        <f t="shared" si="83"/>
        <v>0</v>
      </c>
      <c r="BD88" s="27">
        <v>0</v>
      </c>
      <c r="BE88" s="27">
        <f t="shared" si="70"/>
        <v>2E-05</v>
      </c>
      <c r="BG88" s="26">
        <f t="shared" si="84"/>
        <v>0</v>
      </c>
      <c r="BH88" s="26">
        <f t="shared" si="85"/>
        <v>0</v>
      </c>
      <c r="BI88" s="26">
        <f t="shared" si="86"/>
        <v>0</v>
      </c>
    </row>
    <row r="89" spans="1:61" ht="12.75">
      <c r="A89" s="24" t="s">
        <v>80</v>
      </c>
      <c r="B89" s="25"/>
      <c r="C89" s="25" t="s">
        <v>327</v>
      </c>
      <c r="D89" s="25" t="s">
        <v>574</v>
      </c>
      <c r="E89" s="25" t="s">
        <v>751</v>
      </c>
      <c r="F89" s="26">
        <v>1</v>
      </c>
      <c r="G89" s="1">
        <v>0</v>
      </c>
      <c r="H89" s="26">
        <f t="shared" si="76"/>
        <v>0</v>
      </c>
      <c r="I89" s="26">
        <f t="shared" si="77"/>
        <v>0</v>
      </c>
      <c r="J89" s="26">
        <f t="shared" si="52"/>
        <v>0</v>
      </c>
      <c r="K89" s="26">
        <v>0.00016</v>
      </c>
      <c r="L89" s="26">
        <f t="shared" si="53"/>
        <v>0.00016</v>
      </c>
      <c r="Y89" s="27">
        <f t="shared" si="54"/>
        <v>0</v>
      </c>
      <c r="AA89" s="27">
        <f t="shared" si="55"/>
        <v>0</v>
      </c>
      <c r="AB89" s="27">
        <f t="shared" si="56"/>
        <v>0</v>
      </c>
      <c r="AC89" s="27">
        <f t="shared" si="57"/>
        <v>0</v>
      </c>
      <c r="AD89" s="27">
        <f t="shared" si="58"/>
        <v>0</v>
      </c>
      <c r="AE89" s="27">
        <f t="shared" si="59"/>
        <v>0</v>
      </c>
      <c r="AF89" s="27">
        <f t="shared" si="60"/>
        <v>0</v>
      </c>
      <c r="AG89" s="27">
        <f t="shared" si="61"/>
        <v>0</v>
      </c>
      <c r="AH89" s="17"/>
      <c r="AI89" s="26">
        <f t="shared" si="78"/>
        <v>0</v>
      </c>
      <c r="AJ89" s="26">
        <f t="shared" si="79"/>
        <v>0</v>
      </c>
      <c r="AK89" s="26">
        <f t="shared" si="80"/>
        <v>0</v>
      </c>
      <c r="AM89" s="27">
        <v>21</v>
      </c>
      <c r="AN89" s="27">
        <f>G89*0.129127165740438</f>
        <v>0</v>
      </c>
      <c r="AO89" s="27">
        <f>G89*(1-0.129127165740438)</f>
        <v>0</v>
      </c>
      <c r="AP89" s="28" t="s">
        <v>13</v>
      </c>
      <c r="AU89" s="27">
        <f t="shared" si="65"/>
        <v>0</v>
      </c>
      <c r="AV89" s="27">
        <f t="shared" si="81"/>
        <v>0</v>
      </c>
      <c r="AW89" s="27">
        <f t="shared" si="82"/>
        <v>0</v>
      </c>
      <c r="AX89" s="29" t="s">
        <v>785</v>
      </c>
      <c r="AY89" s="29" t="s">
        <v>793</v>
      </c>
      <c r="AZ89" s="17" t="s">
        <v>796</v>
      </c>
      <c r="BB89" s="27">
        <f t="shared" si="68"/>
        <v>0</v>
      </c>
      <c r="BC89" s="27">
        <f t="shared" si="83"/>
        <v>0</v>
      </c>
      <c r="BD89" s="27">
        <v>0</v>
      </c>
      <c r="BE89" s="27">
        <f t="shared" si="70"/>
        <v>0.00016</v>
      </c>
      <c r="BG89" s="26">
        <f t="shared" si="84"/>
        <v>0</v>
      </c>
      <c r="BH89" s="26">
        <f t="shared" si="85"/>
        <v>0</v>
      </c>
      <c r="BI89" s="26">
        <f t="shared" si="86"/>
        <v>0</v>
      </c>
    </row>
    <row r="90" spans="1:61" ht="12.75">
      <c r="A90" s="24" t="s">
        <v>81</v>
      </c>
      <c r="B90" s="25"/>
      <c r="C90" s="25" t="s">
        <v>328</v>
      </c>
      <c r="D90" s="25" t="s">
        <v>575</v>
      </c>
      <c r="E90" s="25" t="s">
        <v>751</v>
      </c>
      <c r="F90" s="26">
        <v>1</v>
      </c>
      <c r="G90" s="1">
        <v>0</v>
      </c>
      <c r="H90" s="26">
        <f t="shared" si="76"/>
        <v>0</v>
      </c>
      <c r="I90" s="26">
        <f t="shared" si="77"/>
        <v>0</v>
      </c>
      <c r="J90" s="26">
        <f t="shared" si="52"/>
        <v>0</v>
      </c>
      <c r="K90" s="26">
        <v>0.00016</v>
      </c>
      <c r="L90" s="26">
        <f t="shared" si="53"/>
        <v>0.00016</v>
      </c>
      <c r="Y90" s="27">
        <f t="shared" si="54"/>
        <v>0</v>
      </c>
      <c r="AA90" s="27">
        <f t="shared" si="55"/>
        <v>0</v>
      </c>
      <c r="AB90" s="27">
        <f t="shared" si="56"/>
        <v>0</v>
      </c>
      <c r="AC90" s="27">
        <f t="shared" si="57"/>
        <v>0</v>
      </c>
      <c r="AD90" s="27">
        <f t="shared" si="58"/>
        <v>0</v>
      </c>
      <c r="AE90" s="27">
        <f t="shared" si="59"/>
        <v>0</v>
      </c>
      <c r="AF90" s="27">
        <f t="shared" si="60"/>
        <v>0</v>
      </c>
      <c r="AG90" s="27">
        <f t="shared" si="61"/>
        <v>0</v>
      </c>
      <c r="AH90" s="17"/>
      <c r="AI90" s="26">
        <f t="shared" si="78"/>
        <v>0</v>
      </c>
      <c r="AJ90" s="26">
        <f t="shared" si="79"/>
        <v>0</v>
      </c>
      <c r="AK90" s="26">
        <f t="shared" si="80"/>
        <v>0</v>
      </c>
      <c r="AM90" s="27">
        <v>21</v>
      </c>
      <c r="AN90" s="27">
        <f>G90*0.114492753623188</f>
        <v>0</v>
      </c>
      <c r="AO90" s="27">
        <f>G90*(1-0.114492753623188)</f>
        <v>0</v>
      </c>
      <c r="AP90" s="28" t="s">
        <v>13</v>
      </c>
      <c r="AU90" s="27">
        <f t="shared" si="65"/>
        <v>0</v>
      </c>
      <c r="AV90" s="27">
        <f t="shared" si="81"/>
        <v>0</v>
      </c>
      <c r="AW90" s="27">
        <f t="shared" si="82"/>
        <v>0</v>
      </c>
      <c r="AX90" s="29" t="s">
        <v>785</v>
      </c>
      <c r="AY90" s="29" t="s">
        <v>793</v>
      </c>
      <c r="AZ90" s="17" t="s">
        <v>796</v>
      </c>
      <c r="BB90" s="27">
        <f t="shared" si="68"/>
        <v>0</v>
      </c>
      <c r="BC90" s="27">
        <f t="shared" si="83"/>
        <v>0</v>
      </c>
      <c r="BD90" s="27">
        <v>0</v>
      </c>
      <c r="BE90" s="27">
        <f t="shared" si="70"/>
        <v>0.00016</v>
      </c>
      <c r="BG90" s="26">
        <f t="shared" si="84"/>
        <v>0</v>
      </c>
      <c r="BH90" s="26">
        <f t="shared" si="85"/>
        <v>0</v>
      </c>
      <c r="BI90" s="26">
        <f t="shared" si="86"/>
        <v>0</v>
      </c>
    </row>
    <row r="91" spans="1:61" ht="12.75">
      <c r="A91" s="24" t="s">
        <v>82</v>
      </c>
      <c r="B91" s="25"/>
      <c r="C91" s="25" t="s">
        <v>329</v>
      </c>
      <c r="D91" s="25" t="s">
        <v>576</v>
      </c>
      <c r="E91" s="25" t="s">
        <v>751</v>
      </c>
      <c r="F91" s="26">
        <v>1</v>
      </c>
      <c r="G91" s="1">
        <v>0</v>
      </c>
      <c r="H91" s="26">
        <f t="shared" si="76"/>
        <v>0</v>
      </c>
      <c r="I91" s="26">
        <f t="shared" si="77"/>
        <v>0</v>
      </c>
      <c r="J91" s="26">
        <f t="shared" si="52"/>
        <v>0</v>
      </c>
      <c r="K91" s="26">
        <v>0.00016</v>
      </c>
      <c r="L91" s="26">
        <f t="shared" si="53"/>
        <v>0.00016</v>
      </c>
      <c r="Y91" s="27">
        <f t="shared" si="54"/>
        <v>0</v>
      </c>
      <c r="AA91" s="27">
        <f t="shared" si="55"/>
        <v>0</v>
      </c>
      <c r="AB91" s="27">
        <f t="shared" si="56"/>
        <v>0</v>
      </c>
      <c r="AC91" s="27">
        <f t="shared" si="57"/>
        <v>0</v>
      </c>
      <c r="AD91" s="27">
        <f t="shared" si="58"/>
        <v>0</v>
      </c>
      <c r="AE91" s="27">
        <f t="shared" si="59"/>
        <v>0</v>
      </c>
      <c r="AF91" s="27">
        <f t="shared" si="60"/>
        <v>0</v>
      </c>
      <c r="AG91" s="27">
        <f t="shared" si="61"/>
        <v>0</v>
      </c>
      <c r="AH91" s="17"/>
      <c r="AI91" s="26">
        <f t="shared" si="78"/>
        <v>0</v>
      </c>
      <c r="AJ91" s="26">
        <f t="shared" si="79"/>
        <v>0</v>
      </c>
      <c r="AK91" s="26">
        <f t="shared" si="80"/>
        <v>0</v>
      </c>
      <c r="AM91" s="27">
        <v>21</v>
      </c>
      <c r="AN91" s="27">
        <f>G91*0.1158357771261</f>
        <v>0</v>
      </c>
      <c r="AO91" s="27">
        <f>G91*(1-0.1158357771261)</f>
        <v>0</v>
      </c>
      <c r="AP91" s="28" t="s">
        <v>13</v>
      </c>
      <c r="AU91" s="27">
        <f t="shared" si="65"/>
        <v>0</v>
      </c>
      <c r="AV91" s="27">
        <f t="shared" si="81"/>
        <v>0</v>
      </c>
      <c r="AW91" s="27">
        <f t="shared" si="82"/>
        <v>0</v>
      </c>
      <c r="AX91" s="29" t="s">
        <v>785</v>
      </c>
      <c r="AY91" s="29" t="s">
        <v>793</v>
      </c>
      <c r="AZ91" s="17" t="s">
        <v>796</v>
      </c>
      <c r="BB91" s="27">
        <f t="shared" si="68"/>
        <v>0</v>
      </c>
      <c r="BC91" s="27">
        <f t="shared" si="83"/>
        <v>0</v>
      </c>
      <c r="BD91" s="27">
        <v>0</v>
      </c>
      <c r="BE91" s="27">
        <f t="shared" si="70"/>
        <v>0.00016</v>
      </c>
      <c r="BG91" s="26">
        <f t="shared" si="84"/>
        <v>0</v>
      </c>
      <c r="BH91" s="26">
        <f t="shared" si="85"/>
        <v>0</v>
      </c>
      <c r="BI91" s="26">
        <f t="shared" si="86"/>
        <v>0</v>
      </c>
    </row>
    <row r="92" spans="1:61" ht="12.75">
      <c r="A92" s="24" t="s">
        <v>83</v>
      </c>
      <c r="B92" s="25"/>
      <c r="C92" s="25" t="s">
        <v>330</v>
      </c>
      <c r="D92" s="25" t="s">
        <v>577</v>
      </c>
      <c r="E92" s="25" t="s">
        <v>751</v>
      </c>
      <c r="F92" s="26">
        <v>1</v>
      </c>
      <c r="G92" s="1">
        <v>0</v>
      </c>
      <c r="H92" s="26">
        <f t="shared" si="76"/>
        <v>0</v>
      </c>
      <c r="I92" s="26">
        <f t="shared" si="77"/>
        <v>0</v>
      </c>
      <c r="J92" s="26">
        <f t="shared" si="52"/>
        <v>0</v>
      </c>
      <c r="K92" s="26">
        <v>0.00016</v>
      </c>
      <c r="L92" s="26">
        <f t="shared" si="53"/>
        <v>0.00016</v>
      </c>
      <c r="Y92" s="27">
        <f t="shared" si="54"/>
        <v>0</v>
      </c>
      <c r="AA92" s="27">
        <f t="shared" si="55"/>
        <v>0</v>
      </c>
      <c r="AB92" s="27">
        <f t="shared" si="56"/>
        <v>0</v>
      </c>
      <c r="AC92" s="27">
        <f t="shared" si="57"/>
        <v>0</v>
      </c>
      <c r="AD92" s="27">
        <f t="shared" si="58"/>
        <v>0</v>
      </c>
      <c r="AE92" s="27">
        <f t="shared" si="59"/>
        <v>0</v>
      </c>
      <c r="AF92" s="27">
        <f t="shared" si="60"/>
        <v>0</v>
      </c>
      <c r="AG92" s="27">
        <f t="shared" si="61"/>
        <v>0</v>
      </c>
      <c r="AH92" s="17"/>
      <c r="AI92" s="26">
        <f t="shared" si="78"/>
        <v>0</v>
      </c>
      <c r="AJ92" s="26">
        <f t="shared" si="79"/>
        <v>0</v>
      </c>
      <c r="AK92" s="26">
        <f t="shared" si="80"/>
        <v>0</v>
      </c>
      <c r="AM92" s="27">
        <v>21</v>
      </c>
      <c r="AN92" s="27">
        <f>G92*0.117210682492582</f>
        <v>0</v>
      </c>
      <c r="AO92" s="27">
        <f>G92*(1-0.117210682492582)</f>
        <v>0</v>
      </c>
      <c r="AP92" s="28" t="s">
        <v>13</v>
      </c>
      <c r="AU92" s="27">
        <f t="shared" si="65"/>
        <v>0</v>
      </c>
      <c r="AV92" s="27">
        <f t="shared" si="81"/>
        <v>0</v>
      </c>
      <c r="AW92" s="27">
        <f t="shared" si="82"/>
        <v>0</v>
      </c>
      <c r="AX92" s="29" t="s">
        <v>785</v>
      </c>
      <c r="AY92" s="29" t="s">
        <v>793</v>
      </c>
      <c r="AZ92" s="17" t="s">
        <v>796</v>
      </c>
      <c r="BB92" s="27">
        <f t="shared" si="68"/>
        <v>0</v>
      </c>
      <c r="BC92" s="27">
        <f t="shared" si="83"/>
        <v>0</v>
      </c>
      <c r="BD92" s="27">
        <v>0</v>
      </c>
      <c r="BE92" s="27">
        <f t="shared" si="70"/>
        <v>0.00016</v>
      </c>
      <c r="BG92" s="26">
        <f t="shared" si="84"/>
        <v>0</v>
      </c>
      <c r="BH92" s="26">
        <f t="shared" si="85"/>
        <v>0</v>
      </c>
      <c r="BI92" s="26">
        <f t="shared" si="86"/>
        <v>0</v>
      </c>
    </row>
    <row r="93" spans="1:61" ht="12.75">
      <c r="A93" s="24" t="s">
        <v>84</v>
      </c>
      <c r="B93" s="25"/>
      <c r="C93" s="25" t="s">
        <v>331</v>
      </c>
      <c r="D93" s="25" t="s">
        <v>578</v>
      </c>
      <c r="E93" s="25" t="s">
        <v>751</v>
      </c>
      <c r="F93" s="26">
        <v>1</v>
      </c>
      <c r="G93" s="1">
        <v>0</v>
      </c>
      <c r="H93" s="26">
        <f t="shared" si="76"/>
        <v>0</v>
      </c>
      <c r="I93" s="26">
        <f t="shared" si="77"/>
        <v>0</v>
      </c>
      <c r="J93" s="26">
        <f t="shared" si="52"/>
        <v>0</v>
      </c>
      <c r="K93" s="26">
        <v>0.00016</v>
      </c>
      <c r="L93" s="26">
        <f t="shared" si="53"/>
        <v>0.00016</v>
      </c>
      <c r="Y93" s="27">
        <f t="shared" si="54"/>
        <v>0</v>
      </c>
      <c r="AA93" s="27">
        <f t="shared" si="55"/>
        <v>0</v>
      </c>
      <c r="AB93" s="27">
        <f t="shared" si="56"/>
        <v>0</v>
      </c>
      <c r="AC93" s="27">
        <f t="shared" si="57"/>
        <v>0</v>
      </c>
      <c r="AD93" s="27">
        <f t="shared" si="58"/>
        <v>0</v>
      </c>
      <c r="AE93" s="27">
        <f t="shared" si="59"/>
        <v>0</v>
      </c>
      <c r="AF93" s="27">
        <f t="shared" si="60"/>
        <v>0</v>
      </c>
      <c r="AG93" s="27">
        <f t="shared" si="61"/>
        <v>0</v>
      </c>
      <c r="AH93" s="17"/>
      <c r="AI93" s="26">
        <f t="shared" si="78"/>
        <v>0</v>
      </c>
      <c r="AJ93" s="26">
        <f t="shared" si="79"/>
        <v>0</v>
      </c>
      <c r="AK93" s="26">
        <f t="shared" si="80"/>
        <v>0</v>
      </c>
      <c r="AM93" s="27">
        <v>21</v>
      </c>
      <c r="AN93" s="27">
        <f>G93*0.103947368421053</f>
        <v>0</v>
      </c>
      <c r="AO93" s="27">
        <f>G93*(1-0.103947368421053)</f>
        <v>0</v>
      </c>
      <c r="AP93" s="28" t="s">
        <v>13</v>
      </c>
      <c r="AU93" s="27">
        <f t="shared" si="65"/>
        <v>0</v>
      </c>
      <c r="AV93" s="27">
        <f t="shared" si="81"/>
        <v>0</v>
      </c>
      <c r="AW93" s="27">
        <f t="shared" si="82"/>
        <v>0</v>
      </c>
      <c r="AX93" s="29" t="s">
        <v>785</v>
      </c>
      <c r="AY93" s="29" t="s">
        <v>793</v>
      </c>
      <c r="AZ93" s="17" t="s">
        <v>796</v>
      </c>
      <c r="BB93" s="27">
        <f t="shared" si="68"/>
        <v>0</v>
      </c>
      <c r="BC93" s="27">
        <f t="shared" si="83"/>
        <v>0</v>
      </c>
      <c r="BD93" s="27">
        <v>0</v>
      </c>
      <c r="BE93" s="27">
        <f t="shared" si="70"/>
        <v>0.00016</v>
      </c>
      <c r="BG93" s="26">
        <f t="shared" si="84"/>
        <v>0</v>
      </c>
      <c r="BH93" s="26">
        <f t="shared" si="85"/>
        <v>0</v>
      </c>
      <c r="BI93" s="26">
        <f t="shared" si="86"/>
        <v>0</v>
      </c>
    </row>
    <row r="94" spans="1:61" ht="12.75">
      <c r="A94" s="24" t="s">
        <v>85</v>
      </c>
      <c r="B94" s="25"/>
      <c r="C94" s="25" t="s">
        <v>332</v>
      </c>
      <c r="D94" s="25" t="s">
        <v>579</v>
      </c>
      <c r="E94" s="25" t="s">
        <v>751</v>
      </c>
      <c r="F94" s="26">
        <v>1</v>
      </c>
      <c r="G94" s="1">
        <v>0</v>
      </c>
      <c r="H94" s="26">
        <f t="shared" si="76"/>
        <v>0</v>
      </c>
      <c r="I94" s="26">
        <f t="shared" si="77"/>
        <v>0</v>
      </c>
      <c r="J94" s="26">
        <f t="shared" si="52"/>
        <v>0</v>
      </c>
      <c r="K94" s="26">
        <v>0.00016</v>
      </c>
      <c r="L94" s="26">
        <f t="shared" si="53"/>
        <v>0.00016</v>
      </c>
      <c r="Y94" s="27">
        <f t="shared" si="54"/>
        <v>0</v>
      </c>
      <c r="AA94" s="27">
        <f t="shared" si="55"/>
        <v>0</v>
      </c>
      <c r="AB94" s="27">
        <f t="shared" si="56"/>
        <v>0</v>
      </c>
      <c r="AC94" s="27">
        <f t="shared" si="57"/>
        <v>0</v>
      </c>
      <c r="AD94" s="27">
        <f t="shared" si="58"/>
        <v>0</v>
      </c>
      <c r="AE94" s="27">
        <f t="shared" si="59"/>
        <v>0</v>
      </c>
      <c r="AF94" s="27">
        <f t="shared" si="60"/>
        <v>0</v>
      </c>
      <c r="AG94" s="27">
        <f t="shared" si="61"/>
        <v>0</v>
      </c>
      <c r="AH94" s="17"/>
      <c r="AI94" s="26">
        <f t="shared" si="78"/>
        <v>0</v>
      </c>
      <c r="AJ94" s="26">
        <f t="shared" si="79"/>
        <v>0</v>
      </c>
      <c r="AK94" s="26">
        <f t="shared" si="80"/>
        <v>0</v>
      </c>
      <c r="AM94" s="27">
        <v>21</v>
      </c>
      <c r="AN94" s="27">
        <f>G94*0.103947368421053</f>
        <v>0</v>
      </c>
      <c r="AO94" s="27">
        <f>G94*(1-0.103947368421053)</f>
        <v>0</v>
      </c>
      <c r="AP94" s="28" t="s">
        <v>13</v>
      </c>
      <c r="AU94" s="27">
        <f t="shared" si="65"/>
        <v>0</v>
      </c>
      <c r="AV94" s="27">
        <f t="shared" si="81"/>
        <v>0</v>
      </c>
      <c r="AW94" s="27">
        <f t="shared" si="82"/>
        <v>0</v>
      </c>
      <c r="AX94" s="29" t="s">
        <v>785</v>
      </c>
      <c r="AY94" s="29" t="s">
        <v>793</v>
      </c>
      <c r="AZ94" s="17" t="s">
        <v>796</v>
      </c>
      <c r="BB94" s="27">
        <f t="shared" si="68"/>
        <v>0</v>
      </c>
      <c r="BC94" s="27">
        <f t="shared" si="83"/>
        <v>0</v>
      </c>
      <c r="BD94" s="27">
        <v>0</v>
      </c>
      <c r="BE94" s="27">
        <f t="shared" si="70"/>
        <v>0.00016</v>
      </c>
      <c r="BG94" s="26">
        <f t="shared" si="84"/>
        <v>0</v>
      </c>
      <c r="BH94" s="26">
        <f t="shared" si="85"/>
        <v>0</v>
      </c>
      <c r="BI94" s="26">
        <f t="shared" si="86"/>
        <v>0</v>
      </c>
    </row>
    <row r="95" spans="1:61" ht="12.75">
      <c r="A95" s="24" t="s">
        <v>86</v>
      </c>
      <c r="B95" s="25"/>
      <c r="C95" s="25" t="s">
        <v>333</v>
      </c>
      <c r="D95" s="25" t="s">
        <v>580</v>
      </c>
      <c r="E95" s="25" t="s">
        <v>751</v>
      </c>
      <c r="F95" s="26">
        <v>1</v>
      </c>
      <c r="G95" s="1">
        <v>0</v>
      </c>
      <c r="H95" s="26">
        <f t="shared" si="76"/>
        <v>0</v>
      </c>
      <c r="I95" s="26">
        <f t="shared" si="77"/>
        <v>0</v>
      </c>
      <c r="J95" s="26">
        <f t="shared" si="52"/>
        <v>0</v>
      </c>
      <c r="K95" s="26">
        <v>0.00016</v>
      </c>
      <c r="L95" s="26">
        <f t="shared" si="53"/>
        <v>0.00016</v>
      </c>
      <c r="Y95" s="27">
        <f t="shared" si="54"/>
        <v>0</v>
      </c>
      <c r="AA95" s="27">
        <f t="shared" si="55"/>
        <v>0</v>
      </c>
      <c r="AB95" s="27">
        <f t="shared" si="56"/>
        <v>0</v>
      </c>
      <c r="AC95" s="27">
        <f t="shared" si="57"/>
        <v>0</v>
      </c>
      <c r="AD95" s="27">
        <f t="shared" si="58"/>
        <v>0</v>
      </c>
      <c r="AE95" s="27">
        <f t="shared" si="59"/>
        <v>0</v>
      </c>
      <c r="AF95" s="27">
        <f t="shared" si="60"/>
        <v>0</v>
      </c>
      <c r="AG95" s="27">
        <f t="shared" si="61"/>
        <v>0</v>
      </c>
      <c r="AH95" s="17"/>
      <c r="AI95" s="26">
        <f t="shared" si="78"/>
        <v>0</v>
      </c>
      <c r="AJ95" s="26">
        <f t="shared" si="79"/>
        <v>0</v>
      </c>
      <c r="AK95" s="26">
        <f t="shared" si="80"/>
        <v>0</v>
      </c>
      <c r="AM95" s="27">
        <v>21</v>
      </c>
      <c r="AN95" s="27">
        <f>G95*0.0656146179401993</f>
        <v>0</v>
      </c>
      <c r="AO95" s="27">
        <f>G95*(1-0.0656146179401993)</f>
        <v>0</v>
      </c>
      <c r="AP95" s="28" t="s">
        <v>13</v>
      </c>
      <c r="AU95" s="27">
        <f t="shared" si="65"/>
        <v>0</v>
      </c>
      <c r="AV95" s="27">
        <f t="shared" si="81"/>
        <v>0</v>
      </c>
      <c r="AW95" s="27">
        <f t="shared" si="82"/>
        <v>0</v>
      </c>
      <c r="AX95" s="29" t="s">
        <v>785</v>
      </c>
      <c r="AY95" s="29" t="s">
        <v>793</v>
      </c>
      <c r="AZ95" s="17" t="s">
        <v>796</v>
      </c>
      <c r="BB95" s="27">
        <f t="shared" si="68"/>
        <v>0</v>
      </c>
      <c r="BC95" s="27">
        <f t="shared" si="83"/>
        <v>0</v>
      </c>
      <c r="BD95" s="27">
        <v>0</v>
      </c>
      <c r="BE95" s="27">
        <f t="shared" si="70"/>
        <v>0.00016</v>
      </c>
      <c r="BG95" s="26">
        <f t="shared" si="84"/>
        <v>0</v>
      </c>
      <c r="BH95" s="26">
        <f t="shared" si="85"/>
        <v>0</v>
      </c>
      <c r="BI95" s="26">
        <f t="shared" si="86"/>
        <v>0</v>
      </c>
    </row>
    <row r="96" spans="1:61" ht="12.75">
      <c r="A96" s="24" t="s">
        <v>87</v>
      </c>
      <c r="B96" s="25"/>
      <c r="C96" s="25" t="s">
        <v>334</v>
      </c>
      <c r="D96" s="25" t="s">
        <v>581</v>
      </c>
      <c r="E96" s="25" t="s">
        <v>751</v>
      </c>
      <c r="F96" s="26">
        <v>1</v>
      </c>
      <c r="G96" s="1">
        <v>0</v>
      </c>
      <c r="H96" s="26">
        <f t="shared" si="76"/>
        <v>0</v>
      </c>
      <c r="I96" s="26">
        <f t="shared" si="77"/>
        <v>0</v>
      </c>
      <c r="J96" s="26">
        <f t="shared" si="52"/>
        <v>0</v>
      </c>
      <c r="K96" s="26">
        <v>0.00016</v>
      </c>
      <c r="L96" s="26">
        <f t="shared" si="53"/>
        <v>0.00016</v>
      </c>
      <c r="Y96" s="27">
        <f t="shared" si="54"/>
        <v>0</v>
      </c>
      <c r="AA96" s="27">
        <f t="shared" si="55"/>
        <v>0</v>
      </c>
      <c r="AB96" s="27">
        <f t="shared" si="56"/>
        <v>0</v>
      </c>
      <c r="AC96" s="27">
        <f t="shared" si="57"/>
        <v>0</v>
      </c>
      <c r="AD96" s="27">
        <f t="shared" si="58"/>
        <v>0</v>
      </c>
      <c r="AE96" s="27">
        <f t="shared" si="59"/>
        <v>0</v>
      </c>
      <c r="AF96" s="27">
        <f t="shared" si="60"/>
        <v>0</v>
      </c>
      <c r="AG96" s="27">
        <f t="shared" si="61"/>
        <v>0</v>
      </c>
      <c r="AH96" s="17"/>
      <c r="AI96" s="26">
        <f t="shared" si="78"/>
        <v>0</v>
      </c>
      <c r="AJ96" s="26">
        <f t="shared" si="79"/>
        <v>0</v>
      </c>
      <c r="AK96" s="26">
        <f t="shared" si="80"/>
        <v>0</v>
      </c>
      <c r="AM96" s="27">
        <v>21</v>
      </c>
      <c r="AN96" s="27">
        <f>G96*0.0459837019790454</f>
        <v>0</v>
      </c>
      <c r="AO96" s="27">
        <f>G96*(1-0.0459837019790454)</f>
        <v>0</v>
      </c>
      <c r="AP96" s="28" t="s">
        <v>13</v>
      </c>
      <c r="AU96" s="27">
        <f t="shared" si="65"/>
        <v>0</v>
      </c>
      <c r="AV96" s="27">
        <f t="shared" si="81"/>
        <v>0</v>
      </c>
      <c r="AW96" s="27">
        <f t="shared" si="82"/>
        <v>0</v>
      </c>
      <c r="AX96" s="29" t="s">
        <v>785</v>
      </c>
      <c r="AY96" s="29" t="s">
        <v>793</v>
      </c>
      <c r="AZ96" s="17" t="s">
        <v>796</v>
      </c>
      <c r="BB96" s="27">
        <f t="shared" si="68"/>
        <v>0</v>
      </c>
      <c r="BC96" s="27">
        <f t="shared" si="83"/>
        <v>0</v>
      </c>
      <c r="BD96" s="27">
        <v>0</v>
      </c>
      <c r="BE96" s="27">
        <f t="shared" si="70"/>
        <v>0.00016</v>
      </c>
      <c r="BG96" s="26">
        <f t="shared" si="84"/>
        <v>0</v>
      </c>
      <c r="BH96" s="26">
        <f t="shared" si="85"/>
        <v>0</v>
      </c>
      <c r="BI96" s="26">
        <f t="shared" si="86"/>
        <v>0</v>
      </c>
    </row>
    <row r="97" spans="1:61" ht="12.75">
      <c r="A97" s="24" t="s">
        <v>88</v>
      </c>
      <c r="B97" s="25"/>
      <c r="C97" s="25" t="s">
        <v>335</v>
      </c>
      <c r="D97" s="25" t="s">
        <v>582</v>
      </c>
      <c r="E97" s="25" t="s">
        <v>753</v>
      </c>
      <c r="F97" s="26">
        <v>1</v>
      </c>
      <c r="G97" s="1">
        <v>0</v>
      </c>
      <c r="H97" s="26">
        <f t="shared" si="76"/>
        <v>0</v>
      </c>
      <c r="I97" s="26">
        <f t="shared" si="77"/>
        <v>0</v>
      </c>
      <c r="J97" s="26">
        <f t="shared" si="52"/>
        <v>0</v>
      </c>
      <c r="K97" s="26">
        <v>0</v>
      </c>
      <c r="L97" s="26">
        <f t="shared" si="53"/>
        <v>0</v>
      </c>
      <c r="Y97" s="27">
        <f t="shared" si="54"/>
        <v>0</v>
      </c>
      <c r="AA97" s="27">
        <f t="shared" si="55"/>
        <v>0</v>
      </c>
      <c r="AB97" s="27">
        <f t="shared" si="56"/>
        <v>0</v>
      </c>
      <c r="AC97" s="27">
        <f t="shared" si="57"/>
        <v>0</v>
      </c>
      <c r="AD97" s="27">
        <f t="shared" si="58"/>
        <v>0</v>
      </c>
      <c r="AE97" s="27">
        <f t="shared" si="59"/>
        <v>0</v>
      </c>
      <c r="AF97" s="27">
        <f t="shared" si="60"/>
        <v>0</v>
      </c>
      <c r="AG97" s="27">
        <f t="shared" si="61"/>
        <v>0</v>
      </c>
      <c r="AH97" s="17"/>
      <c r="AI97" s="26">
        <f t="shared" si="78"/>
        <v>0</v>
      </c>
      <c r="AJ97" s="26">
        <f t="shared" si="79"/>
        <v>0</v>
      </c>
      <c r="AK97" s="26">
        <f t="shared" si="80"/>
        <v>0</v>
      </c>
      <c r="AM97" s="27">
        <v>21</v>
      </c>
      <c r="AN97" s="27">
        <f aca="true" t="shared" si="87" ref="AN97:AN105">G97*0</f>
        <v>0</v>
      </c>
      <c r="AO97" s="27">
        <f aca="true" t="shared" si="88" ref="AO97:AO105">G97*(1-0)</f>
        <v>0</v>
      </c>
      <c r="AP97" s="28" t="s">
        <v>13</v>
      </c>
      <c r="AU97" s="27">
        <f t="shared" si="65"/>
        <v>0</v>
      </c>
      <c r="AV97" s="27">
        <f t="shared" si="81"/>
        <v>0</v>
      </c>
      <c r="AW97" s="27">
        <f t="shared" si="82"/>
        <v>0</v>
      </c>
      <c r="AX97" s="29" t="s">
        <v>785</v>
      </c>
      <c r="AY97" s="29" t="s">
        <v>793</v>
      </c>
      <c r="AZ97" s="17" t="s">
        <v>796</v>
      </c>
      <c r="BB97" s="27">
        <f t="shared" si="68"/>
        <v>0</v>
      </c>
      <c r="BC97" s="27">
        <f t="shared" si="83"/>
        <v>0</v>
      </c>
      <c r="BD97" s="27">
        <v>0</v>
      </c>
      <c r="BE97" s="27">
        <f t="shared" si="70"/>
        <v>0</v>
      </c>
      <c r="BG97" s="26">
        <f t="shared" si="84"/>
        <v>0</v>
      </c>
      <c r="BH97" s="26">
        <f t="shared" si="85"/>
        <v>0</v>
      </c>
      <c r="BI97" s="26">
        <f t="shared" si="86"/>
        <v>0</v>
      </c>
    </row>
    <row r="98" spans="1:61" ht="12.75">
      <c r="A98" s="24" t="s">
        <v>89</v>
      </c>
      <c r="B98" s="25"/>
      <c r="C98" s="25" t="s">
        <v>336</v>
      </c>
      <c r="D98" s="25" t="s">
        <v>583</v>
      </c>
      <c r="E98" s="25" t="s">
        <v>753</v>
      </c>
      <c r="F98" s="26">
        <v>1</v>
      </c>
      <c r="G98" s="1">
        <v>0</v>
      </c>
      <c r="H98" s="26">
        <f t="shared" si="76"/>
        <v>0</v>
      </c>
      <c r="I98" s="26">
        <f t="shared" si="77"/>
        <v>0</v>
      </c>
      <c r="J98" s="26">
        <f t="shared" si="52"/>
        <v>0</v>
      </c>
      <c r="K98" s="26">
        <v>0</v>
      </c>
      <c r="L98" s="26">
        <f t="shared" si="53"/>
        <v>0</v>
      </c>
      <c r="Y98" s="27">
        <f t="shared" si="54"/>
        <v>0</v>
      </c>
      <c r="AA98" s="27">
        <f t="shared" si="55"/>
        <v>0</v>
      </c>
      <c r="AB98" s="27">
        <f t="shared" si="56"/>
        <v>0</v>
      </c>
      <c r="AC98" s="27">
        <f t="shared" si="57"/>
        <v>0</v>
      </c>
      <c r="AD98" s="27">
        <f t="shared" si="58"/>
        <v>0</v>
      </c>
      <c r="AE98" s="27">
        <f t="shared" si="59"/>
        <v>0</v>
      </c>
      <c r="AF98" s="27">
        <f t="shared" si="60"/>
        <v>0</v>
      </c>
      <c r="AG98" s="27">
        <f t="shared" si="61"/>
        <v>0</v>
      </c>
      <c r="AH98" s="17"/>
      <c r="AI98" s="26">
        <f t="shared" si="78"/>
        <v>0</v>
      </c>
      <c r="AJ98" s="26">
        <f t="shared" si="79"/>
        <v>0</v>
      </c>
      <c r="AK98" s="26">
        <f t="shared" si="80"/>
        <v>0</v>
      </c>
      <c r="AM98" s="27">
        <v>21</v>
      </c>
      <c r="AN98" s="27">
        <f t="shared" si="87"/>
        <v>0</v>
      </c>
      <c r="AO98" s="27">
        <f t="shared" si="88"/>
        <v>0</v>
      </c>
      <c r="AP98" s="28" t="s">
        <v>13</v>
      </c>
      <c r="AU98" s="27">
        <f t="shared" si="65"/>
        <v>0</v>
      </c>
      <c r="AV98" s="27">
        <f t="shared" si="81"/>
        <v>0</v>
      </c>
      <c r="AW98" s="27">
        <f t="shared" si="82"/>
        <v>0</v>
      </c>
      <c r="AX98" s="29" t="s">
        <v>785</v>
      </c>
      <c r="AY98" s="29" t="s">
        <v>793</v>
      </c>
      <c r="AZ98" s="17" t="s">
        <v>796</v>
      </c>
      <c r="BB98" s="27">
        <f t="shared" si="68"/>
        <v>0</v>
      </c>
      <c r="BC98" s="27">
        <f t="shared" si="83"/>
        <v>0</v>
      </c>
      <c r="BD98" s="27">
        <v>0</v>
      </c>
      <c r="BE98" s="27">
        <f t="shared" si="70"/>
        <v>0</v>
      </c>
      <c r="BG98" s="26">
        <f t="shared" si="84"/>
        <v>0</v>
      </c>
      <c r="BH98" s="26">
        <f t="shared" si="85"/>
        <v>0</v>
      </c>
      <c r="BI98" s="26">
        <f t="shared" si="86"/>
        <v>0</v>
      </c>
    </row>
    <row r="99" spans="1:61" ht="12.75">
      <c r="A99" s="24" t="s">
        <v>90</v>
      </c>
      <c r="B99" s="25"/>
      <c r="C99" s="25" t="s">
        <v>337</v>
      </c>
      <c r="D99" s="25" t="s">
        <v>584</v>
      </c>
      <c r="E99" s="25" t="s">
        <v>753</v>
      </c>
      <c r="F99" s="26">
        <v>1</v>
      </c>
      <c r="G99" s="1">
        <v>0</v>
      </c>
      <c r="H99" s="26">
        <f t="shared" si="76"/>
        <v>0</v>
      </c>
      <c r="I99" s="26">
        <f t="shared" si="77"/>
        <v>0</v>
      </c>
      <c r="J99" s="26">
        <f t="shared" si="52"/>
        <v>0</v>
      </c>
      <c r="K99" s="26">
        <v>0</v>
      </c>
      <c r="L99" s="26">
        <f t="shared" si="53"/>
        <v>0</v>
      </c>
      <c r="Y99" s="27">
        <f t="shared" si="54"/>
        <v>0</v>
      </c>
      <c r="AA99" s="27">
        <f t="shared" si="55"/>
        <v>0</v>
      </c>
      <c r="AB99" s="27">
        <f t="shared" si="56"/>
        <v>0</v>
      </c>
      <c r="AC99" s="27">
        <f t="shared" si="57"/>
        <v>0</v>
      </c>
      <c r="AD99" s="27">
        <f t="shared" si="58"/>
        <v>0</v>
      </c>
      <c r="AE99" s="27">
        <f t="shared" si="59"/>
        <v>0</v>
      </c>
      <c r="AF99" s="27">
        <f t="shared" si="60"/>
        <v>0</v>
      </c>
      <c r="AG99" s="27">
        <f t="shared" si="61"/>
        <v>0</v>
      </c>
      <c r="AH99" s="17"/>
      <c r="AI99" s="26">
        <f t="shared" si="78"/>
        <v>0</v>
      </c>
      <c r="AJ99" s="26">
        <f t="shared" si="79"/>
        <v>0</v>
      </c>
      <c r="AK99" s="26">
        <f t="shared" si="80"/>
        <v>0</v>
      </c>
      <c r="AM99" s="27">
        <v>21</v>
      </c>
      <c r="AN99" s="27">
        <f t="shared" si="87"/>
        <v>0</v>
      </c>
      <c r="AO99" s="27">
        <f t="shared" si="88"/>
        <v>0</v>
      </c>
      <c r="AP99" s="28" t="s">
        <v>13</v>
      </c>
      <c r="AU99" s="27">
        <f t="shared" si="65"/>
        <v>0</v>
      </c>
      <c r="AV99" s="27">
        <f t="shared" si="81"/>
        <v>0</v>
      </c>
      <c r="AW99" s="27">
        <f t="shared" si="82"/>
        <v>0</v>
      </c>
      <c r="AX99" s="29" t="s">
        <v>785</v>
      </c>
      <c r="AY99" s="29" t="s">
        <v>793</v>
      </c>
      <c r="AZ99" s="17" t="s">
        <v>796</v>
      </c>
      <c r="BB99" s="27">
        <f t="shared" si="68"/>
        <v>0</v>
      </c>
      <c r="BC99" s="27">
        <f t="shared" si="83"/>
        <v>0</v>
      </c>
      <c r="BD99" s="27">
        <v>0</v>
      </c>
      <c r="BE99" s="27">
        <f t="shared" si="70"/>
        <v>0</v>
      </c>
      <c r="BG99" s="26">
        <f t="shared" si="84"/>
        <v>0</v>
      </c>
      <c r="BH99" s="26">
        <f t="shared" si="85"/>
        <v>0</v>
      </c>
      <c r="BI99" s="26">
        <f t="shared" si="86"/>
        <v>0</v>
      </c>
    </row>
    <row r="100" spans="1:61" ht="12.75">
      <c r="A100" s="24" t="s">
        <v>91</v>
      </c>
      <c r="B100" s="25"/>
      <c r="C100" s="25" t="s">
        <v>338</v>
      </c>
      <c r="D100" s="25" t="s">
        <v>585</v>
      </c>
      <c r="E100" s="25" t="s">
        <v>753</v>
      </c>
      <c r="F100" s="26">
        <v>1</v>
      </c>
      <c r="G100" s="1">
        <v>0</v>
      </c>
      <c r="H100" s="26">
        <f t="shared" si="76"/>
        <v>0</v>
      </c>
      <c r="I100" s="26">
        <f t="shared" si="77"/>
        <v>0</v>
      </c>
      <c r="J100" s="26">
        <f t="shared" si="52"/>
        <v>0</v>
      </c>
      <c r="K100" s="26">
        <v>0</v>
      </c>
      <c r="L100" s="26">
        <f t="shared" si="53"/>
        <v>0</v>
      </c>
      <c r="Y100" s="27">
        <f t="shared" si="54"/>
        <v>0</v>
      </c>
      <c r="AA100" s="27">
        <f t="shared" si="55"/>
        <v>0</v>
      </c>
      <c r="AB100" s="27">
        <f t="shared" si="56"/>
        <v>0</v>
      </c>
      <c r="AC100" s="27">
        <f t="shared" si="57"/>
        <v>0</v>
      </c>
      <c r="AD100" s="27">
        <f t="shared" si="58"/>
        <v>0</v>
      </c>
      <c r="AE100" s="27">
        <f t="shared" si="59"/>
        <v>0</v>
      </c>
      <c r="AF100" s="27">
        <f t="shared" si="60"/>
        <v>0</v>
      </c>
      <c r="AG100" s="27">
        <f t="shared" si="61"/>
        <v>0</v>
      </c>
      <c r="AH100" s="17"/>
      <c r="AI100" s="26">
        <f t="shared" si="78"/>
        <v>0</v>
      </c>
      <c r="AJ100" s="26">
        <f t="shared" si="79"/>
        <v>0</v>
      </c>
      <c r="AK100" s="26">
        <f t="shared" si="80"/>
        <v>0</v>
      </c>
      <c r="AM100" s="27">
        <v>21</v>
      </c>
      <c r="AN100" s="27">
        <f t="shared" si="87"/>
        <v>0</v>
      </c>
      <c r="AO100" s="27">
        <f t="shared" si="88"/>
        <v>0</v>
      </c>
      <c r="AP100" s="28" t="s">
        <v>13</v>
      </c>
      <c r="AU100" s="27">
        <f t="shared" si="65"/>
        <v>0</v>
      </c>
      <c r="AV100" s="27">
        <f t="shared" si="81"/>
        <v>0</v>
      </c>
      <c r="AW100" s="27">
        <f t="shared" si="82"/>
        <v>0</v>
      </c>
      <c r="AX100" s="29" t="s">
        <v>785</v>
      </c>
      <c r="AY100" s="29" t="s">
        <v>793</v>
      </c>
      <c r="AZ100" s="17" t="s">
        <v>796</v>
      </c>
      <c r="BB100" s="27">
        <f t="shared" si="68"/>
        <v>0</v>
      </c>
      <c r="BC100" s="27">
        <f t="shared" si="83"/>
        <v>0</v>
      </c>
      <c r="BD100" s="27">
        <v>0</v>
      </c>
      <c r="BE100" s="27">
        <f t="shared" si="70"/>
        <v>0</v>
      </c>
      <c r="BG100" s="26">
        <f t="shared" si="84"/>
        <v>0</v>
      </c>
      <c r="BH100" s="26">
        <f t="shared" si="85"/>
        <v>0</v>
      </c>
      <c r="BI100" s="26">
        <f t="shared" si="86"/>
        <v>0</v>
      </c>
    </row>
    <row r="101" spans="1:61" ht="12.75">
      <c r="A101" s="24" t="s">
        <v>92</v>
      </c>
      <c r="B101" s="25"/>
      <c r="C101" s="25" t="s">
        <v>339</v>
      </c>
      <c r="D101" s="25" t="s">
        <v>586</v>
      </c>
      <c r="E101" s="25" t="s">
        <v>753</v>
      </c>
      <c r="F101" s="26">
        <v>1</v>
      </c>
      <c r="G101" s="1">
        <v>0</v>
      </c>
      <c r="H101" s="26">
        <f t="shared" si="76"/>
        <v>0</v>
      </c>
      <c r="I101" s="26">
        <f t="shared" si="77"/>
        <v>0</v>
      </c>
      <c r="J101" s="26">
        <f t="shared" si="52"/>
        <v>0</v>
      </c>
      <c r="K101" s="26">
        <v>0</v>
      </c>
      <c r="L101" s="26">
        <f t="shared" si="53"/>
        <v>0</v>
      </c>
      <c r="Y101" s="27">
        <f t="shared" si="54"/>
        <v>0</v>
      </c>
      <c r="AA101" s="27">
        <f t="shared" si="55"/>
        <v>0</v>
      </c>
      <c r="AB101" s="27">
        <f t="shared" si="56"/>
        <v>0</v>
      </c>
      <c r="AC101" s="27">
        <f t="shared" si="57"/>
        <v>0</v>
      </c>
      <c r="AD101" s="27">
        <f t="shared" si="58"/>
        <v>0</v>
      </c>
      <c r="AE101" s="27">
        <f t="shared" si="59"/>
        <v>0</v>
      </c>
      <c r="AF101" s="27">
        <f t="shared" si="60"/>
        <v>0</v>
      </c>
      <c r="AG101" s="27">
        <f t="shared" si="61"/>
        <v>0</v>
      </c>
      <c r="AH101" s="17"/>
      <c r="AI101" s="26">
        <f t="shared" si="78"/>
        <v>0</v>
      </c>
      <c r="AJ101" s="26">
        <f t="shared" si="79"/>
        <v>0</v>
      </c>
      <c r="AK101" s="26">
        <f t="shared" si="80"/>
        <v>0</v>
      </c>
      <c r="AM101" s="27">
        <v>21</v>
      </c>
      <c r="AN101" s="27">
        <f t="shared" si="87"/>
        <v>0</v>
      </c>
      <c r="AO101" s="27">
        <f t="shared" si="88"/>
        <v>0</v>
      </c>
      <c r="AP101" s="28" t="s">
        <v>13</v>
      </c>
      <c r="AU101" s="27">
        <f t="shared" si="65"/>
        <v>0</v>
      </c>
      <c r="AV101" s="27">
        <f t="shared" si="81"/>
        <v>0</v>
      </c>
      <c r="AW101" s="27">
        <f t="shared" si="82"/>
        <v>0</v>
      </c>
      <c r="AX101" s="29" t="s">
        <v>785</v>
      </c>
      <c r="AY101" s="29" t="s">
        <v>793</v>
      </c>
      <c r="AZ101" s="17" t="s">
        <v>796</v>
      </c>
      <c r="BB101" s="27">
        <f t="shared" si="68"/>
        <v>0</v>
      </c>
      <c r="BC101" s="27">
        <f t="shared" si="83"/>
        <v>0</v>
      </c>
      <c r="BD101" s="27">
        <v>0</v>
      </c>
      <c r="BE101" s="27">
        <f t="shared" si="70"/>
        <v>0</v>
      </c>
      <c r="BG101" s="26">
        <f t="shared" si="84"/>
        <v>0</v>
      </c>
      <c r="BH101" s="26">
        <f t="shared" si="85"/>
        <v>0</v>
      </c>
      <c r="BI101" s="26">
        <f t="shared" si="86"/>
        <v>0</v>
      </c>
    </row>
    <row r="102" spans="1:61" ht="12.75">
      <c r="A102" s="24" t="s">
        <v>93</v>
      </c>
      <c r="B102" s="25"/>
      <c r="C102" s="25" t="s">
        <v>340</v>
      </c>
      <c r="D102" s="25" t="s">
        <v>587</v>
      </c>
      <c r="E102" s="25" t="s">
        <v>753</v>
      </c>
      <c r="F102" s="26">
        <v>1</v>
      </c>
      <c r="G102" s="1">
        <v>0</v>
      </c>
      <c r="H102" s="26">
        <f t="shared" si="76"/>
        <v>0</v>
      </c>
      <c r="I102" s="26">
        <f t="shared" si="77"/>
        <v>0</v>
      </c>
      <c r="J102" s="26">
        <f t="shared" si="52"/>
        <v>0</v>
      </c>
      <c r="K102" s="26">
        <v>0</v>
      </c>
      <c r="L102" s="26">
        <f t="shared" si="53"/>
        <v>0</v>
      </c>
      <c r="Y102" s="27">
        <f t="shared" si="54"/>
        <v>0</v>
      </c>
      <c r="AA102" s="27">
        <f t="shared" si="55"/>
        <v>0</v>
      </c>
      <c r="AB102" s="27">
        <f t="shared" si="56"/>
        <v>0</v>
      </c>
      <c r="AC102" s="27">
        <f t="shared" si="57"/>
        <v>0</v>
      </c>
      <c r="AD102" s="27">
        <f t="shared" si="58"/>
        <v>0</v>
      </c>
      <c r="AE102" s="27">
        <f t="shared" si="59"/>
        <v>0</v>
      </c>
      <c r="AF102" s="27">
        <f t="shared" si="60"/>
        <v>0</v>
      </c>
      <c r="AG102" s="27">
        <f t="shared" si="61"/>
        <v>0</v>
      </c>
      <c r="AH102" s="17"/>
      <c r="AI102" s="26">
        <f t="shared" si="78"/>
        <v>0</v>
      </c>
      <c r="AJ102" s="26">
        <f t="shared" si="79"/>
        <v>0</v>
      </c>
      <c r="AK102" s="26">
        <f t="shared" si="80"/>
        <v>0</v>
      </c>
      <c r="AM102" s="27">
        <v>21</v>
      </c>
      <c r="AN102" s="27">
        <f t="shared" si="87"/>
        <v>0</v>
      </c>
      <c r="AO102" s="27">
        <f t="shared" si="88"/>
        <v>0</v>
      </c>
      <c r="AP102" s="28" t="s">
        <v>13</v>
      </c>
      <c r="AU102" s="27">
        <f t="shared" si="65"/>
        <v>0</v>
      </c>
      <c r="AV102" s="27">
        <f t="shared" si="81"/>
        <v>0</v>
      </c>
      <c r="AW102" s="27">
        <f t="shared" si="82"/>
        <v>0</v>
      </c>
      <c r="AX102" s="29" t="s">
        <v>785</v>
      </c>
      <c r="AY102" s="29" t="s">
        <v>793</v>
      </c>
      <c r="AZ102" s="17" t="s">
        <v>796</v>
      </c>
      <c r="BB102" s="27">
        <f t="shared" si="68"/>
        <v>0</v>
      </c>
      <c r="BC102" s="27">
        <f t="shared" si="83"/>
        <v>0</v>
      </c>
      <c r="BD102" s="27">
        <v>0</v>
      </c>
      <c r="BE102" s="27">
        <f t="shared" si="70"/>
        <v>0</v>
      </c>
      <c r="BG102" s="26">
        <f t="shared" si="84"/>
        <v>0</v>
      </c>
      <c r="BH102" s="26">
        <f t="shared" si="85"/>
        <v>0</v>
      </c>
      <c r="BI102" s="26">
        <f t="shared" si="86"/>
        <v>0</v>
      </c>
    </row>
    <row r="103" spans="1:61" ht="12.75">
      <c r="A103" s="24" t="s">
        <v>94</v>
      </c>
      <c r="B103" s="25"/>
      <c r="C103" s="25" t="s">
        <v>341</v>
      </c>
      <c r="D103" s="25" t="s">
        <v>588</v>
      </c>
      <c r="E103" s="25" t="s">
        <v>753</v>
      </c>
      <c r="F103" s="26">
        <v>1</v>
      </c>
      <c r="G103" s="1">
        <v>0</v>
      </c>
      <c r="H103" s="26">
        <f t="shared" si="76"/>
        <v>0</v>
      </c>
      <c r="I103" s="26">
        <f t="shared" si="77"/>
        <v>0</v>
      </c>
      <c r="J103" s="26">
        <f t="shared" si="52"/>
        <v>0</v>
      </c>
      <c r="K103" s="26">
        <v>0</v>
      </c>
      <c r="L103" s="26">
        <f t="shared" si="53"/>
        <v>0</v>
      </c>
      <c r="Y103" s="27">
        <f t="shared" si="54"/>
        <v>0</v>
      </c>
      <c r="AA103" s="27">
        <f t="shared" si="55"/>
        <v>0</v>
      </c>
      <c r="AB103" s="27">
        <f t="shared" si="56"/>
        <v>0</v>
      </c>
      <c r="AC103" s="27">
        <f t="shared" si="57"/>
        <v>0</v>
      </c>
      <c r="AD103" s="27">
        <f t="shared" si="58"/>
        <v>0</v>
      </c>
      <c r="AE103" s="27">
        <f t="shared" si="59"/>
        <v>0</v>
      </c>
      <c r="AF103" s="27">
        <f t="shared" si="60"/>
        <v>0</v>
      </c>
      <c r="AG103" s="27">
        <f t="shared" si="61"/>
        <v>0</v>
      </c>
      <c r="AH103" s="17"/>
      <c r="AI103" s="26">
        <f t="shared" si="78"/>
        <v>0</v>
      </c>
      <c r="AJ103" s="26">
        <f t="shared" si="79"/>
        <v>0</v>
      </c>
      <c r="AK103" s="26">
        <f t="shared" si="80"/>
        <v>0</v>
      </c>
      <c r="AM103" s="27">
        <v>21</v>
      </c>
      <c r="AN103" s="27">
        <f t="shared" si="87"/>
        <v>0</v>
      </c>
      <c r="AO103" s="27">
        <f t="shared" si="88"/>
        <v>0</v>
      </c>
      <c r="AP103" s="28" t="s">
        <v>13</v>
      </c>
      <c r="AU103" s="27">
        <f t="shared" si="65"/>
        <v>0</v>
      </c>
      <c r="AV103" s="27">
        <f t="shared" si="81"/>
        <v>0</v>
      </c>
      <c r="AW103" s="27">
        <f t="shared" si="82"/>
        <v>0</v>
      </c>
      <c r="AX103" s="29" t="s">
        <v>785</v>
      </c>
      <c r="AY103" s="29" t="s">
        <v>793</v>
      </c>
      <c r="AZ103" s="17" t="s">
        <v>796</v>
      </c>
      <c r="BB103" s="27">
        <f t="shared" si="68"/>
        <v>0</v>
      </c>
      <c r="BC103" s="27">
        <f t="shared" si="83"/>
        <v>0</v>
      </c>
      <c r="BD103" s="27">
        <v>0</v>
      </c>
      <c r="BE103" s="27">
        <f t="shared" si="70"/>
        <v>0</v>
      </c>
      <c r="BG103" s="26">
        <f t="shared" si="84"/>
        <v>0</v>
      </c>
      <c r="BH103" s="26">
        <f t="shared" si="85"/>
        <v>0</v>
      </c>
      <c r="BI103" s="26">
        <f t="shared" si="86"/>
        <v>0</v>
      </c>
    </row>
    <row r="104" spans="1:61" ht="12.75">
      <c r="A104" s="24" t="s">
        <v>95</v>
      </c>
      <c r="B104" s="25"/>
      <c r="C104" s="25" t="s">
        <v>342</v>
      </c>
      <c r="D104" s="25" t="s">
        <v>589</v>
      </c>
      <c r="E104" s="25" t="s">
        <v>753</v>
      </c>
      <c r="F104" s="26">
        <v>1</v>
      </c>
      <c r="G104" s="1">
        <v>0</v>
      </c>
      <c r="H104" s="26">
        <f t="shared" si="76"/>
        <v>0</v>
      </c>
      <c r="I104" s="26">
        <f t="shared" si="77"/>
        <v>0</v>
      </c>
      <c r="J104" s="26">
        <f t="shared" si="52"/>
        <v>0</v>
      </c>
      <c r="K104" s="26">
        <v>0</v>
      </c>
      <c r="L104" s="26">
        <f t="shared" si="53"/>
        <v>0</v>
      </c>
      <c r="Y104" s="27">
        <f t="shared" si="54"/>
        <v>0</v>
      </c>
      <c r="AA104" s="27">
        <f t="shared" si="55"/>
        <v>0</v>
      </c>
      <c r="AB104" s="27">
        <f t="shared" si="56"/>
        <v>0</v>
      </c>
      <c r="AC104" s="27">
        <f t="shared" si="57"/>
        <v>0</v>
      </c>
      <c r="AD104" s="27">
        <f t="shared" si="58"/>
        <v>0</v>
      </c>
      <c r="AE104" s="27">
        <f t="shared" si="59"/>
        <v>0</v>
      </c>
      <c r="AF104" s="27">
        <f t="shared" si="60"/>
        <v>0</v>
      </c>
      <c r="AG104" s="27">
        <f t="shared" si="61"/>
        <v>0</v>
      </c>
      <c r="AH104" s="17"/>
      <c r="AI104" s="26">
        <f t="shared" si="78"/>
        <v>0</v>
      </c>
      <c r="AJ104" s="26">
        <f t="shared" si="79"/>
        <v>0</v>
      </c>
      <c r="AK104" s="26">
        <f t="shared" si="80"/>
        <v>0</v>
      </c>
      <c r="AM104" s="27">
        <v>21</v>
      </c>
      <c r="AN104" s="27">
        <f t="shared" si="87"/>
        <v>0</v>
      </c>
      <c r="AO104" s="27">
        <f t="shared" si="88"/>
        <v>0</v>
      </c>
      <c r="AP104" s="28" t="s">
        <v>13</v>
      </c>
      <c r="AU104" s="27">
        <f t="shared" si="65"/>
        <v>0</v>
      </c>
      <c r="AV104" s="27">
        <f t="shared" si="81"/>
        <v>0</v>
      </c>
      <c r="AW104" s="27">
        <f t="shared" si="82"/>
        <v>0</v>
      </c>
      <c r="AX104" s="29" t="s">
        <v>785</v>
      </c>
      <c r="AY104" s="29" t="s">
        <v>793</v>
      </c>
      <c r="AZ104" s="17" t="s">
        <v>796</v>
      </c>
      <c r="BB104" s="27">
        <f t="shared" si="68"/>
        <v>0</v>
      </c>
      <c r="BC104" s="27">
        <f t="shared" si="83"/>
        <v>0</v>
      </c>
      <c r="BD104" s="27">
        <v>0</v>
      </c>
      <c r="BE104" s="27">
        <f t="shared" si="70"/>
        <v>0</v>
      </c>
      <c r="BG104" s="26">
        <f t="shared" si="84"/>
        <v>0</v>
      </c>
      <c r="BH104" s="26">
        <f t="shared" si="85"/>
        <v>0</v>
      </c>
      <c r="BI104" s="26">
        <f t="shared" si="86"/>
        <v>0</v>
      </c>
    </row>
    <row r="105" spans="1:61" ht="12.75">
      <c r="A105" s="24" t="s">
        <v>96</v>
      </c>
      <c r="B105" s="25"/>
      <c r="C105" s="25" t="s">
        <v>343</v>
      </c>
      <c r="D105" s="25" t="s">
        <v>590</v>
      </c>
      <c r="E105" s="25" t="s">
        <v>753</v>
      </c>
      <c r="F105" s="26">
        <v>1</v>
      </c>
      <c r="G105" s="1">
        <v>0</v>
      </c>
      <c r="H105" s="26">
        <f t="shared" si="76"/>
        <v>0</v>
      </c>
      <c r="I105" s="26">
        <f t="shared" si="77"/>
        <v>0</v>
      </c>
      <c r="J105" s="26">
        <f t="shared" si="52"/>
        <v>0</v>
      </c>
      <c r="K105" s="26">
        <v>0</v>
      </c>
      <c r="L105" s="26">
        <f t="shared" si="53"/>
        <v>0</v>
      </c>
      <c r="Y105" s="27">
        <f t="shared" si="54"/>
        <v>0</v>
      </c>
      <c r="AA105" s="27">
        <f t="shared" si="55"/>
        <v>0</v>
      </c>
      <c r="AB105" s="27">
        <f t="shared" si="56"/>
        <v>0</v>
      </c>
      <c r="AC105" s="27">
        <f t="shared" si="57"/>
        <v>0</v>
      </c>
      <c r="AD105" s="27">
        <f t="shared" si="58"/>
        <v>0</v>
      </c>
      <c r="AE105" s="27">
        <f t="shared" si="59"/>
        <v>0</v>
      </c>
      <c r="AF105" s="27">
        <f t="shared" si="60"/>
        <v>0</v>
      </c>
      <c r="AG105" s="27">
        <f t="shared" si="61"/>
        <v>0</v>
      </c>
      <c r="AH105" s="17"/>
      <c r="AI105" s="26">
        <f t="shared" si="78"/>
        <v>0</v>
      </c>
      <c r="AJ105" s="26">
        <f t="shared" si="79"/>
        <v>0</v>
      </c>
      <c r="AK105" s="26">
        <f t="shared" si="80"/>
        <v>0</v>
      </c>
      <c r="AM105" s="27">
        <v>21</v>
      </c>
      <c r="AN105" s="27">
        <f t="shared" si="87"/>
        <v>0</v>
      </c>
      <c r="AO105" s="27">
        <f t="shared" si="88"/>
        <v>0</v>
      </c>
      <c r="AP105" s="28" t="s">
        <v>13</v>
      </c>
      <c r="AU105" s="27">
        <f t="shared" si="65"/>
        <v>0</v>
      </c>
      <c r="AV105" s="27">
        <f t="shared" si="81"/>
        <v>0</v>
      </c>
      <c r="AW105" s="27">
        <f t="shared" si="82"/>
        <v>0</v>
      </c>
      <c r="AX105" s="29" t="s">
        <v>785</v>
      </c>
      <c r="AY105" s="29" t="s">
        <v>793</v>
      </c>
      <c r="AZ105" s="17" t="s">
        <v>796</v>
      </c>
      <c r="BB105" s="27">
        <f t="shared" si="68"/>
        <v>0</v>
      </c>
      <c r="BC105" s="27">
        <f t="shared" si="83"/>
        <v>0</v>
      </c>
      <c r="BD105" s="27">
        <v>0</v>
      </c>
      <c r="BE105" s="27">
        <f t="shared" si="70"/>
        <v>0</v>
      </c>
      <c r="BG105" s="26">
        <f t="shared" si="84"/>
        <v>0</v>
      </c>
      <c r="BH105" s="26">
        <f t="shared" si="85"/>
        <v>0</v>
      </c>
      <c r="BI105" s="26">
        <f t="shared" si="86"/>
        <v>0</v>
      </c>
    </row>
    <row r="106" spans="1:61" ht="12.75">
      <c r="A106" s="24" t="s">
        <v>97</v>
      </c>
      <c r="B106" s="25"/>
      <c r="C106" s="25" t="s">
        <v>344</v>
      </c>
      <c r="D106" s="25" t="s">
        <v>591</v>
      </c>
      <c r="E106" s="25" t="s">
        <v>753</v>
      </c>
      <c r="F106" s="26">
        <v>1</v>
      </c>
      <c r="G106" s="1">
        <v>0</v>
      </c>
      <c r="H106" s="26">
        <f t="shared" si="76"/>
        <v>0</v>
      </c>
      <c r="I106" s="26">
        <f t="shared" si="77"/>
        <v>0</v>
      </c>
      <c r="J106" s="26">
        <f t="shared" si="52"/>
        <v>0</v>
      </c>
      <c r="K106" s="26">
        <v>0.00019</v>
      </c>
      <c r="L106" s="26">
        <f t="shared" si="53"/>
        <v>0.00019</v>
      </c>
      <c r="Y106" s="27">
        <f t="shared" si="54"/>
        <v>0</v>
      </c>
      <c r="AA106" s="27">
        <f t="shared" si="55"/>
        <v>0</v>
      </c>
      <c r="AB106" s="27">
        <f t="shared" si="56"/>
        <v>0</v>
      </c>
      <c r="AC106" s="27">
        <f t="shared" si="57"/>
        <v>0</v>
      </c>
      <c r="AD106" s="27">
        <f t="shared" si="58"/>
        <v>0</v>
      </c>
      <c r="AE106" s="27">
        <f t="shared" si="59"/>
        <v>0</v>
      </c>
      <c r="AF106" s="27">
        <f t="shared" si="60"/>
        <v>0</v>
      </c>
      <c r="AG106" s="27">
        <f t="shared" si="61"/>
        <v>0</v>
      </c>
      <c r="AH106" s="17"/>
      <c r="AI106" s="26">
        <f t="shared" si="78"/>
        <v>0</v>
      </c>
      <c r="AJ106" s="26">
        <f t="shared" si="79"/>
        <v>0</v>
      </c>
      <c r="AK106" s="26">
        <f t="shared" si="80"/>
        <v>0</v>
      </c>
      <c r="AM106" s="27">
        <v>21</v>
      </c>
      <c r="AN106" s="27">
        <f>G106*0.0181393322507822</f>
        <v>0</v>
      </c>
      <c r="AO106" s="27">
        <f>G106*(1-0.0181393322507822)</f>
        <v>0</v>
      </c>
      <c r="AP106" s="28" t="s">
        <v>13</v>
      </c>
      <c r="AU106" s="27">
        <f t="shared" si="65"/>
        <v>0</v>
      </c>
      <c r="AV106" s="27">
        <f t="shared" si="81"/>
        <v>0</v>
      </c>
      <c r="AW106" s="27">
        <f t="shared" si="82"/>
        <v>0</v>
      </c>
      <c r="AX106" s="29" t="s">
        <v>785</v>
      </c>
      <c r="AY106" s="29" t="s">
        <v>793</v>
      </c>
      <c r="AZ106" s="17" t="s">
        <v>796</v>
      </c>
      <c r="BB106" s="27">
        <f t="shared" si="68"/>
        <v>0</v>
      </c>
      <c r="BC106" s="27">
        <f t="shared" si="83"/>
        <v>0</v>
      </c>
      <c r="BD106" s="27">
        <v>0</v>
      </c>
      <c r="BE106" s="27">
        <f t="shared" si="70"/>
        <v>0.00019</v>
      </c>
      <c r="BG106" s="26">
        <f t="shared" si="84"/>
        <v>0</v>
      </c>
      <c r="BH106" s="26">
        <f t="shared" si="85"/>
        <v>0</v>
      </c>
      <c r="BI106" s="26">
        <f t="shared" si="86"/>
        <v>0</v>
      </c>
    </row>
    <row r="107" spans="1:61" ht="12.75">
      <c r="A107" s="24" t="s">
        <v>98</v>
      </c>
      <c r="B107" s="25"/>
      <c r="C107" s="25" t="s">
        <v>345</v>
      </c>
      <c r="D107" s="25" t="s">
        <v>592</v>
      </c>
      <c r="E107" s="25" t="s">
        <v>753</v>
      </c>
      <c r="F107" s="26">
        <v>1</v>
      </c>
      <c r="G107" s="1">
        <v>0</v>
      </c>
      <c r="H107" s="26">
        <f t="shared" si="76"/>
        <v>0</v>
      </c>
      <c r="I107" s="26">
        <f t="shared" si="77"/>
        <v>0</v>
      </c>
      <c r="J107" s="26">
        <f t="shared" si="52"/>
        <v>0</v>
      </c>
      <c r="K107" s="26">
        <v>0.00019</v>
      </c>
      <c r="L107" s="26">
        <f t="shared" si="53"/>
        <v>0.00019</v>
      </c>
      <c r="Y107" s="27">
        <f t="shared" si="54"/>
        <v>0</v>
      </c>
      <c r="AA107" s="27">
        <f t="shared" si="55"/>
        <v>0</v>
      </c>
      <c r="AB107" s="27">
        <f t="shared" si="56"/>
        <v>0</v>
      </c>
      <c r="AC107" s="27">
        <f t="shared" si="57"/>
        <v>0</v>
      </c>
      <c r="AD107" s="27">
        <f t="shared" si="58"/>
        <v>0</v>
      </c>
      <c r="AE107" s="27">
        <f t="shared" si="59"/>
        <v>0</v>
      </c>
      <c r="AF107" s="27">
        <f t="shared" si="60"/>
        <v>0</v>
      </c>
      <c r="AG107" s="27">
        <f t="shared" si="61"/>
        <v>0</v>
      </c>
      <c r="AH107" s="17"/>
      <c r="AI107" s="26">
        <f t="shared" si="78"/>
        <v>0</v>
      </c>
      <c r="AJ107" s="26">
        <f t="shared" si="79"/>
        <v>0</v>
      </c>
      <c r="AK107" s="26">
        <f t="shared" si="80"/>
        <v>0</v>
      </c>
      <c r="AM107" s="27">
        <v>21</v>
      </c>
      <c r="AN107" s="27">
        <f>G107*0.010121546961326</f>
        <v>0</v>
      </c>
      <c r="AO107" s="27">
        <f>G107*(1-0.010121546961326)</f>
        <v>0</v>
      </c>
      <c r="AP107" s="28" t="s">
        <v>13</v>
      </c>
      <c r="AU107" s="27">
        <f t="shared" si="65"/>
        <v>0</v>
      </c>
      <c r="AV107" s="27">
        <f t="shared" si="81"/>
        <v>0</v>
      </c>
      <c r="AW107" s="27">
        <f t="shared" si="82"/>
        <v>0</v>
      </c>
      <c r="AX107" s="29" t="s">
        <v>785</v>
      </c>
      <c r="AY107" s="29" t="s">
        <v>793</v>
      </c>
      <c r="AZ107" s="17" t="s">
        <v>796</v>
      </c>
      <c r="BB107" s="27">
        <f t="shared" si="68"/>
        <v>0</v>
      </c>
      <c r="BC107" s="27">
        <f t="shared" si="83"/>
        <v>0</v>
      </c>
      <c r="BD107" s="27">
        <v>0</v>
      </c>
      <c r="BE107" s="27">
        <f t="shared" si="70"/>
        <v>0.00019</v>
      </c>
      <c r="BG107" s="26">
        <f t="shared" si="84"/>
        <v>0</v>
      </c>
      <c r="BH107" s="26">
        <f t="shared" si="85"/>
        <v>0</v>
      </c>
      <c r="BI107" s="26">
        <f t="shared" si="86"/>
        <v>0</v>
      </c>
    </row>
    <row r="108" spans="1:61" ht="12.75">
      <c r="A108" s="24" t="s">
        <v>99</v>
      </c>
      <c r="B108" s="25"/>
      <c r="C108" s="25" t="s">
        <v>346</v>
      </c>
      <c r="D108" s="25" t="s">
        <v>593</v>
      </c>
      <c r="E108" s="25" t="s">
        <v>753</v>
      </c>
      <c r="F108" s="26">
        <v>1</v>
      </c>
      <c r="G108" s="1">
        <v>0</v>
      </c>
      <c r="H108" s="26">
        <f t="shared" si="76"/>
        <v>0</v>
      </c>
      <c r="I108" s="26">
        <f t="shared" si="77"/>
        <v>0</v>
      </c>
      <c r="J108" s="26">
        <f t="shared" si="52"/>
        <v>0</v>
      </c>
      <c r="K108" s="26">
        <v>0</v>
      </c>
      <c r="L108" s="26">
        <f t="shared" si="53"/>
        <v>0</v>
      </c>
      <c r="Y108" s="27">
        <f t="shared" si="54"/>
        <v>0</v>
      </c>
      <c r="AA108" s="27">
        <f t="shared" si="55"/>
        <v>0</v>
      </c>
      <c r="AB108" s="27">
        <f t="shared" si="56"/>
        <v>0</v>
      </c>
      <c r="AC108" s="27">
        <f t="shared" si="57"/>
        <v>0</v>
      </c>
      <c r="AD108" s="27">
        <f t="shared" si="58"/>
        <v>0</v>
      </c>
      <c r="AE108" s="27">
        <f t="shared" si="59"/>
        <v>0</v>
      </c>
      <c r="AF108" s="27">
        <f t="shared" si="60"/>
        <v>0</v>
      </c>
      <c r="AG108" s="27">
        <f t="shared" si="61"/>
        <v>0</v>
      </c>
      <c r="AH108" s="17"/>
      <c r="AI108" s="26">
        <f t="shared" si="78"/>
        <v>0</v>
      </c>
      <c r="AJ108" s="26">
        <f t="shared" si="79"/>
        <v>0</v>
      </c>
      <c r="AK108" s="26">
        <f t="shared" si="80"/>
        <v>0</v>
      </c>
      <c r="AM108" s="27">
        <v>21</v>
      </c>
      <c r="AN108" s="27">
        <f>G108*0</f>
        <v>0</v>
      </c>
      <c r="AO108" s="27">
        <f>G108*(1-0)</f>
        <v>0</v>
      </c>
      <c r="AP108" s="28" t="s">
        <v>13</v>
      </c>
      <c r="AU108" s="27">
        <f t="shared" si="65"/>
        <v>0</v>
      </c>
      <c r="AV108" s="27">
        <f t="shared" si="81"/>
        <v>0</v>
      </c>
      <c r="AW108" s="27">
        <f t="shared" si="82"/>
        <v>0</v>
      </c>
      <c r="AX108" s="29" t="s">
        <v>785</v>
      </c>
      <c r="AY108" s="29" t="s">
        <v>793</v>
      </c>
      <c r="AZ108" s="17" t="s">
        <v>796</v>
      </c>
      <c r="BB108" s="27">
        <f t="shared" si="68"/>
        <v>0</v>
      </c>
      <c r="BC108" s="27">
        <f t="shared" si="83"/>
        <v>0</v>
      </c>
      <c r="BD108" s="27">
        <v>0</v>
      </c>
      <c r="BE108" s="27">
        <f t="shared" si="70"/>
        <v>0</v>
      </c>
      <c r="BG108" s="26">
        <f t="shared" si="84"/>
        <v>0</v>
      </c>
      <c r="BH108" s="26">
        <f t="shared" si="85"/>
        <v>0</v>
      </c>
      <c r="BI108" s="26">
        <f t="shared" si="86"/>
        <v>0</v>
      </c>
    </row>
    <row r="109" spans="1:61" ht="12.75">
      <c r="A109" s="24" t="s">
        <v>100</v>
      </c>
      <c r="B109" s="25"/>
      <c r="C109" s="25" t="s">
        <v>347</v>
      </c>
      <c r="D109" s="25" t="s">
        <v>594</v>
      </c>
      <c r="E109" s="25" t="s">
        <v>753</v>
      </c>
      <c r="F109" s="26">
        <v>1</v>
      </c>
      <c r="G109" s="1">
        <v>0</v>
      </c>
      <c r="H109" s="26">
        <f aca="true" t="shared" si="89" ref="H109:H121">F109*AN109</f>
        <v>0</v>
      </c>
      <c r="I109" s="26">
        <f aca="true" t="shared" si="90" ref="I109:I121">F109*AO109</f>
        <v>0</v>
      </c>
      <c r="J109" s="26">
        <f aca="true" t="shared" si="91" ref="J109:J121">F109*G109</f>
        <v>0</v>
      </c>
      <c r="K109" s="26">
        <v>0</v>
      </c>
      <c r="L109" s="26">
        <f aca="true" t="shared" si="92" ref="L109:L121">F109*K109</f>
        <v>0</v>
      </c>
      <c r="Y109" s="27">
        <f aca="true" t="shared" si="93" ref="Y109:Y121">IF(AP109="5",BI109,0)</f>
        <v>0</v>
      </c>
      <c r="AA109" s="27">
        <f aca="true" t="shared" si="94" ref="AA109:AA121">IF(AP109="1",BG109,0)</f>
        <v>0</v>
      </c>
      <c r="AB109" s="27">
        <f aca="true" t="shared" si="95" ref="AB109:AB121">IF(AP109="1",BH109,0)</f>
        <v>0</v>
      </c>
      <c r="AC109" s="27">
        <f aca="true" t="shared" si="96" ref="AC109:AC121">IF(AP109="7",BG109,0)</f>
        <v>0</v>
      </c>
      <c r="AD109" s="27">
        <f aca="true" t="shared" si="97" ref="AD109:AD121">IF(AP109="7",BH109,0)</f>
        <v>0</v>
      </c>
      <c r="AE109" s="27">
        <f aca="true" t="shared" si="98" ref="AE109:AE121">IF(AP109="2",BG109,0)</f>
        <v>0</v>
      </c>
      <c r="AF109" s="27">
        <f aca="true" t="shared" si="99" ref="AF109:AF121">IF(AP109="2",BH109,0)</f>
        <v>0</v>
      </c>
      <c r="AG109" s="27">
        <f aca="true" t="shared" si="100" ref="AG109:AG121">IF(AP109="0",BI109,0)</f>
        <v>0</v>
      </c>
      <c r="AH109" s="17"/>
      <c r="AI109" s="26">
        <f aca="true" t="shared" si="101" ref="AI109:AI121">IF(AM109=0,J109,0)</f>
        <v>0</v>
      </c>
      <c r="AJ109" s="26">
        <f aca="true" t="shared" si="102" ref="AJ109:AJ121">IF(AM109=15,J109,0)</f>
        <v>0</v>
      </c>
      <c r="AK109" s="26">
        <f aca="true" t="shared" si="103" ref="AK109:AK121">IF(AM109=21,J109,0)</f>
        <v>0</v>
      </c>
      <c r="AM109" s="27">
        <v>21</v>
      </c>
      <c r="AN109" s="27">
        <f>G109*0</f>
        <v>0</v>
      </c>
      <c r="AO109" s="27">
        <f>G109*(1-0)</f>
        <v>0</v>
      </c>
      <c r="AP109" s="28" t="s">
        <v>13</v>
      </c>
      <c r="AU109" s="27">
        <f aca="true" t="shared" si="104" ref="AU109:AU121">AV109+AW109</f>
        <v>0</v>
      </c>
      <c r="AV109" s="27">
        <f aca="true" t="shared" si="105" ref="AV109:AV121">F109*AN109</f>
        <v>0</v>
      </c>
      <c r="AW109" s="27">
        <f aca="true" t="shared" si="106" ref="AW109:AW121">F109*AO109</f>
        <v>0</v>
      </c>
      <c r="AX109" s="29" t="s">
        <v>785</v>
      </c>
      <c r="AY109" s="29" t="s">
        <v>793</v>
      </c>
      <c r="AZ109" s="17" t="s">
        <v>796</v>
      </c>
      <c r="BB109" s="27">
        <f aca="true" t="shared" si="107" ref="BB109:BB121">AV109+AW109</f>
        <v>0</v>
      </c>
      <c r="BC109" s="27">
        <f aca="true" t="shared" si="108" ref="BC109:BC121">G109/(100-BD109)*100</f>
        <v>0</v>
      </c>
      <c r="BD109" s="27">
        <v>0</v>
      </c>
      <c r="BE109" s="27">
        <f aca="true" t="shared" si="109" ref="BE109:BE121">L109</f>
        <v>0</v>
      </c>
      <c r="BG109" s="26">
        <f aca="true" t="shared" si="110" ref="BG109:BG121">F109*AN109</f>
        <v>0</v>
      </c>
      <c r="BH109" s="26">
        <f aca="true" t="shared" si="111" ref="BH109:BH121">F109*AO109</f>
        <v>0</v>
      </c>
      <c r="BI109" s="26">
        <f aca="true" t="shared" si="112" ref="BI109:BI121">F109*G109</f>
        <v>0</v>
      </c>
    </row>
    <row r="110" spans="1:61" ht="12.75">
      <c r="A110" s="24" t="s">
        <v>101</v>
      </c>
      <c r="B110" s="25"/>
      <c r="C110" s="25" t="s">
        <v>348</v>
      </c>
      <c r="D110" s="25" t="s">
        <v>595</v>
      </c>
      <c r="E110" s="25" t="s">
        <v>753</v>
      </c>
      <c r="F110" s="26">
        <v>1</v>
      </c>
      <c r="G110" s="1">
        <v>0</v>
      </c>
      <c r="H110" s="26">
        <f t="shared" si="89"/>
        <v>0</v>
      </c>
      <c r="I110" s="26">
        <f t="shared" si="90"/>
        <v>0</v>
      </c>
      <c r="J110" s="26">
        <f t="shared" si="91"/>
        <v>0</v>
      </c>
      <c r="K110" s="26">
        <v>0</v>
      </c>
      <c r="L110" s="26">
        <f t="shared" si="92"/>
        <v>0</v>
      </c>
      <c r="Y110" s="27">
        <f t="shared" si="93"/>
        <v>0</v>
      </c>
      <c r="AA110" s="27">
        <f t="shared" si="94"/>
        <v>0</v>
      </c>
      <c r="AB110" s="27">
        <f t="shared" si="95"/>
        <v>0</v>
      </c>
      <c r="AC110" s="27">
        <f t="shared" si="96"/>
        <v>0</v>
      </c>
      <c r="AD110" s="27">
        <f t="shared" si="97"/>
        <v>0</v>
      </c>
      <c r="AE110" s="27">
        <f t="shared" si="98"/>
        <v>0</v>
      </c>
      <c r="AF110" s="27">
        <f t="shared" si="99"/>
        <v>0</v>
      </c>
      <c r="AG110" s="27">
        <f t="shared" si="100"/>
        <v>0</v>
      </c>
      <c r="AH110" s="17"/>
      <c r="AI110" s="26">
        <f t="shared" si="101"/>
        <v>0</v>
      </c>
      <c r="AJ110" s="26">
        <f t="shared" si="102"/>
        <v>0</v>
      </c>
      <c r="AK110" s="26">
        <f t="shared" si="103"/>
        <v>0</v>
      </c>
      <c r="AM110" s="27">
        <v>21</v>
      </c>
      <c r="AN110" s="27">
        <f>G110*0</f>
        <v>0</v>
      </c>
      <c r="AO110" s="27">
        <f>G110*(1-0)</f>
        <v>0</v>
      </c>
      <c r="AP110" s="28" t="s">
        <v>13</v>
      </c>
      <c r="AU110" s="27">
        <f t="shared" si="104"/>
        <v>0</v>
      </c>
      <c r="AV110" s="27">
        <f t="shared" si="105"/>
        <v>0</v>
      </c>
      <c r="AW110" s="27">
        <f t="shared" si="106"/>
        <v>0</v>
      </c>
      <c r="AX110" s="29" t="s">
        <v>785</v>
      </c>
      <c r="AY110" s="29" t="s">
        <v>793</v>
      </c>
      <c r="AZ110" s="17" t="s">
        <v>796</v>
      </c>
      <c r="BB110" s="27">
        <f t="shared" si="107"/>
        <v>0</v>
      </c>
      <c r="BC110" s="27">
        <f t="shared" si="108"/>
        <v>0</v>
      </c>
      <c r="BD110" s="27">
        <v>0</v>
      </c>
      <c r="BE110" s="27">
        <f t="shared" si="109"/>
        <v>0</v>
      </c>
      <c r="BG110" s="26">
        <f t="shared" si="110"/>
        <v>0</v>
      </c>
      <c r="BH110" s="26">
        <f t="shared" si="111"/>
        <v>0</v>
      </c>
      <c r="BI110" s="26">
        <f t="shared" si="112"/>
        <v>0</v>
      </c>
    </row>
    <row r="111" spans="1:61" ht="12.75">
      <c r="A111" s="24" t="s">
        <v>102</v>
      </c>
      <c r="B111" s="25"/>
      <c r="C111" s="25" t="s">
        <v>349</v>
      </c>
      <c r="D111" s="25" t="s">
        <v>596</v>
      </c>
      <c r="E111" s="25" t="s">
        <v>753</v>
      </c>
      <c r="F111" s="26">
        <v>1</v>
      </c>
      <c r="G111" s="1">
        <v>0</v>
      </c>
      <c r="H111" s="26">
        <f t="shared" si="89"/>
        <v>0</v>
      </c>
      <c r="I111" s="26">
        <f t="shared" si="90"/>
        <v>0</v>
      </c>
      <c r="J111" s="26">
        <f t="shared" si="91"/>
        <v>0</v>
      </c>
      <c r="K111" s="26">
        <v>0</v>
      </c>
      <c r="L111" s="26">
        <f t="shared" si="92"/>
        <v>0</v>
      </c>
      <c r="Y111" s="27">
        <f t="shared" si="93"/>
        <v>0</v>
      </c>
      <c r="AA111" s="27">
        <f t="shared" si="94"/>
        <v>0</v>
      </c>
      <c r="AB111" s="27">
        <f t="shared" si="95"/>
        <v>0</v>
      </c>
      <c r="AC111" s="27">
        <f t="shared" si="96"/>
        <v>0</v>
      </c>
      <c r="AD111" s="27">
        <f t="shared" si="97"/>
        <v>0</v>
      </c>
      <c r="AE111" s="27">
        <f t="shared" si="98"/>
        <v>0</v>
      </c>
      <c r="AF111" s="27">
        <f t="shared" si="99"/>
        <v>0</v>
      </c>
      <c r="AG111" s="27">
        <f t="shared" si="100"/>
        <v>0</v>
      </c>
      <c r="AH111" s="17"/>
      <c r="AI111" s="26">
        <f t="shared" si="101"/>
        <v>0</v>
      </c>
      <c r="AJ111" s="26">
        <f t="shared" si="102"/>
        <v>0</v>
      </c>
      <c r="AK111" s="26">
        <f t="shared" si="103"/>
        <v>0</v>
      </c>
      <c r="AM111" s="27">
        <v>21</v>
      </c>
      <c r="AN111" s="27">
        <f>G111*0</f>
        <v>0</v>
      </c>
      <c r="AO111" s="27">
        <f>G111*(1-0)</f>
        <v>0</v>
      </c>
      <c r="AP111" s="28" t="s">
        <v>13</v>
      </c>
      <c r="AU111" s="27">
        <f t="shared" si="104"/>
        <v>0</v>
      </c>
      <c r="AV111" s="27">
        <f t="shared" si="105"/>
        <v>0</v>
      </c>
      <c r="AW111" s="27">
        <f t="shared" si="106"/>
        <v>0</v>
      </c>
      <c r="AX111" s="29" t="s">
        <v>785</v>
      </c>
      <c r="AY111" s="29" t="s">
        <v>793</v>
      </c>
      <c r="AZ111" s="17" t="s">
        <v>796</v>
      </c>
      <c r="BB111" s="27">
        <f t="shared" si="107"/>
        <v>0</v>
      </c>
      <c r="BC111" s="27">
        <f t="shared" si="108"/>
        <v>0</v>
      </c>
      <c r="BD111" s="27">
        <v>0</v>
      </c>
      <c r="BE111" s="27">
        <f t="shared" si="109"/>
        <v>0</v>
      </c>
      <c r="BG111" s="26">
        <f t="shared" si="110"/>
        <v>0</v>
      </c>
      <c r="BH111" s="26">
        <f t="shared" si="111"/>
        <v>0</v>
      </c>
      <c r="BI111" s="26">
        <f t="shared" si="112"/>
        <v>0</v>
      </c>
    </row>
    <row r="112" spans="1:61" ht="12.75">
      <c r="A112" s="24" t="s">
        <v>103</v>
      </c>
      <c r="B112" s="25"/>
      <c r="C112" s="25" t="s">
        <v>350</v>
      </c>
      <c r="D112" s="25" t="s">
        <v>597</v>
      </c>
      <c r="E112" s="25" t="s">
        <v>753</v>
      </c>
      <c r="F112" s="26">
        <v>1</v>
      </c>
      <c r="G112" s="1">
        <v>0</v>
      </c>
      <c r="H112" s="26">
        <f t="shared" si="89"/>
        <v>0</v>
      </c>
      <c r="I112" s="26">
        <f t="shared" si="90"/>
        <v>0</v>
      </c>
      <c r="J112" s="26">
        <f t="shared" si="91"/>
        <v>0</v>
      </c>
      <c r="K112" s="26">
        <v>0.00019</v>
      </c>
      <c r="L112" s="26">
        <f t="shared" si="92"/>
        <v>0.00019</v>
      </c>
      <c r="Y112" s="27">
        <f t="shared" si="93"/>
        <v>0</v>
      </c>
      <c r="AA112" s="27">
        <f t="shared" si="94"/>
        <v>0</v>
      </c>
      <c r="AB112" s="27">
        <f t="shared" si="95"/>
        <v>0</v>
      </c>
      <c r="AC112" s="27">
        <f t="shared" si="96"/>
        <v>0</v>
      </c>
      <c r="AD112" s="27">
        <f t="shared" si="97"/>
        <v>0</v>
      </c>
      <c r="AE112" s="27">
        <f t="shared" si="98"/>
        <v>0</v>
      </c>
      <c r="AF112" s="27">
        <f t="shared" si="99"/>
        <v>0</v>
      </c>
      <c r="AG112" s="27">
        <f t="shared" si="100"/>
        <v>0</v>
      </c>
      <c r="AH112" s="17"/>
      <c r="AI112" s="26">
        <f t="shared" si="101"/>
        <v>0</v>
      </c>
      <c r="AJ112" s="26">
        <f t="shared" si="102"/>
        <v>0</v>
      </c>
      <c r="AK112" s="26">
        <f t="shared" si="103"/>
        <v>0</v>
      </c>
      <c r="AM112" s="27">
        <v>21</v>
      </c>
      <c r="AN112" s="27">
        <f>G112*0.0166249228647138</f>
        <v>0</v>
      </c>
      <c r="AO112" s="27">
        <f>G112*(1-0.0166249228647138)</f>
        <v>0</v>
      </c>
      <c r="AP112" s="28" t="s">
        <v>13</v>
      </c>
      <c r="AU112" s="27">
        <f t="shared" si="104"/>
        <v>0</v>
      </c>
      <c r="AV112" s="27">
        <f t="shared" si="105"/>
        <v>0</v>
      </c>
      <c r="AW112" s="27">
        <f t="shared" si="106"/>
        <v>0</v>
      </c>
      <c r="AX112" s="29" t="s">
        <v>785</v>
      </c>
      <c r="AY112" s="29" t="s">
        <v>793</v>
      </c>
      <c r="AZ112" s="17" t="s">
        <v>796</v>
      </c>
      <c r="BB112" s="27">
        <f t="shared" si="107"/>
        <v>0</v>
      </c>
      <c r="BC112" s="27">
        <f t="shared" si="108"/>
        <v>0</v>
      </c>
      <c r="BD112" s="27">
        <v>0</v>
      </c>
      <c r="BE112" s="27">
        <f t="shared" si="109"/>
        <v>0.00019</v>
      </c>
      <c r="BG112" s="26">
        <f t="shared" si="110"/>
        <v>0</v>
      </c>
      <c r="BH112" s="26">
        <f t="shared" si="111"/>
        <v>0</v>
      </c>
      <c r="BI112" s="26">
        <f t="shared" si="112"/>
        <v>0</v>
      </c>
    </row>
    <row r="113" spans="1:61" ht="12.75">
      <c r="A113" s="24" t="s">
        <v>104</v>
      </c>
      <c r="B113" s="25"/>
      <c r="C113" s="25" t="s">
        <v>351</v>
      </c>
      <c r="D113" s="25" t="s">
        <v>598</v>
      </c>
      <c r="E113" s="25" t="s">
        <v>753</v>
      </c>
      <c r="F113" s="26">
        <v>1</v>
      </c>
      <c r="G113" s="1">
        <v>0</v>
      </c>
      <c r="H113" s="26">
        <f t="shared" si="89"/>
        <v>0</v>
      </c>
      <c r="I113" s="26">
        <f t="shared" si="90"/>
        <v>0</v>
      </c>
      <c r="J113" s="26">
        <f t="shared" si="91"/>
        <v>0</v>
      </c>
      <c r="K113" s="26">
        <v>0.00019</v>
      </c>
      <c r="L113" s="26">
        <f t="shared" si="92"/>
        <v>0.00019</v>
      </c>
      <c r="Y113" s="27">
        <f t="shared" si="93"/>
        <v>0</v>
      </c>
      <c r="AA113" s="27">
        <f t="shared" si="94"/>
        <v>0</v>
      </c>
      <c r="AB113" s="27">
        <f t="shared" si="95"/>
        <v>0</v>
      </c>
      <c r="AC113" s="27">
        <f t="shared" si="96"/>
        <v>0</v>
      </c>
      <c r="AD113" s="27">
        <f t="shared" si="97"/>
        <v>0</v>
      </c>
      <c r="AE113" s="27">
        <f t="shared" si="98"/>
        <v>0</v>
      </c>
      <c r="AF113" s="27">
        <f t="shared" si="99"/>
        <v>0</v>
      </c>
      <c r="AG113" s="27">
        <f t="shared" si="100"/>
        <v>0</v>
      </c>
      <c r="AH113" s="17"/>
      <c r="AI113" s="26">
        <f t="shared" si="101"/>
        <v>0</v>
      </c>
      <c r="AJ113" s="26">
        <f t="shared" si="102"/>
        <v>0</v>
      </c>
      <c r="AK113" s="26">
        <f t="shared" si="103"/>
        <v>0</v>
      </c>
      <c r="AM113" s="27">
        <v>21</v>
      </c>
      <c r="AN113" s="27">
        <f>G113*0.00993492407809111</f>
        <v>0</v>
      </c>
      <c r="AO113" s="27">
        <f>G113*(1-0.00993492407809111)</f>
        <v>0</v>
      </c>
      <c r="AP113" s="28" t="s">
        <v>13</v>
      </c>
      <c r="AU113" s="27">
        <f t="shared" si="104"/>
        <v>0</v>
      </c>
      <c r="AV113" s="27">
        <f t="shared" si="105"/>
        <v>0</v>
      </c>
      <c r="AW113" s="27">
        <f t="shared" si="106"/>
        <v>0</v>
      </c>
      <c r="AX113" s="29" t="s">
        <v>785</v>
      </c>
      <c r="AY113" s="29" t="s">
        <v>793</v>
      </c>
      <c r="AZ113" s="17" t="s">
        <v>796</v>
      </c>
      <c r="BB113" s="27">
        <f t="shared" si="107"/>
        <v>0</v>
      </c>
      <c r="BC113" s="27">
        <f t="shared" si="108"/>
        <v>0</v>
      </c>
      <c r="BD113" s="27">
        <v>0</v>
      </c>
      <c r="BE113" s="27">
        <f t="shared" si="109"/>
        <v>0.00019</v>
      </c>
      <c r="BG113" s="26">
        <f t="shared" si="110"/>
        <v>0</v>
      </c>
      <c r="BH113" s="26">
        <f t="shared" si="111"/>
        <v>0</v>
      </c>
      <c r="BI113" s="26">
        <f t="shared" si="112"/>
        <v>0</v>
      </c>
    </row>
    <row r="114" spans="1:61" ht="12.75">
      <c r="A114" s="24" t="s">
        <v>105</v>
      </c>
      <c r="B114" s="25"/>
      <c r="C114" s="25" t="s">
        <v>352</v>
      </c>
      <c r="D114" s="25" t="s">
        <v>599</v>
      </c>
      <c r="E114" s="25" t="s">
        <v>753</v>
      </c>
      <c r="F114" s="26">
        <v>1</v>
      </c>
      <c r="G114" s="1">
        <v>0</v>
      </c>
      <c r="H114" s="26">
        <f t="shared" si="89"/>
        <v>0</v>
      </c>
      <c r="I114" s="26">
        <f t="shared" si="90"/>
        <v>0</v>
      </c>
      <c r="J114" s="26">
        <f t="shared" si="91"/>
        <v>0</v>
      </c>
      <c r="K114" s="26">
        <v>0</v>
      </c>
      <c r="L114" s="26">
        <f t="shared" si="92"/>
        <v>0</v>
      </c>
      <c r="Y114" s="27">
        <f t="shared" si="93"/>
        <v>0</v>
      </c>
      <c r="AA114" s="27">
        <f t="shared" si="94"/>
        <v>0</v>
      </c>
      <c r="AB114" s="27">
        <f t="shared" si="95"/>
        <v>0</v>
      </c>
      <c r="AC114" s="27">
        <f t="shared" si="96"/>
        <v>0</v>
      </c>
      <c r="AD114" s="27">
        <f t="shared" si="97"/>
        <v>0</v>
      </c>
      <c r="AE114" s="27">
        <f t="shared" si="98"/>
        <v>0</v>
      </c>
      <c r="AF114" s="27">
        <f t="shared" si="99"/>
        <v>0</v>
      </c>
      <c r="AG114" s="27">
        <f t="shared" si="100"/>
        <v>0</v>
      </c>
      <c r="AH114" s="17"/>
      <c r="AI114" s="26">
        <f t="shared" si="101"/>
        <v>0</v>
      </c>
      <c r="AJ114" s="26">
        <f t="shared" si="102"/>
        <v>0</v>
      </c>
      <c r="AK114" s="26">
        <f t="shared" si="103"/>
        <v>0</v>
      </c>
      <c r="AM114" s="27">
        <v>21</v>
      </c>
      <c r="AN114" s="27">
        <f>G114*0</f>
        <v>0</v>
      </c>
      <c r="AO114" s="27">
        <f>G114*(1-0)</f>
        <v>0</v>
      </c>
      <c r="AP114" s="28" t="s">
        <v>13</v>
      </c>
      <c r="AU114" s="27">
        <f t="shared" si="104"/>
        <v>0</v>
      </c>
      <c r="AV114" s="27">
        <f t="shared" si="105"/>
        <v>0</v>
      </c>
      <c r="AW114" s="27">
        <f t="shared" si="106"/>
        <v>0</v>
      </c>
      <c r="AX114" s="29" t="s">
        <v>785</v>
      </c>
      <c r="AY114" s="29" t="s">
        <v>793</v>
      </c>
      <c r="AZ114" s="17" t="s">
        <v>796</v>
      </c>
      <c r="BB114" s="27">
        <f t="shared" si="107"/>
        <v>0</v>
      </c>
      <c r="BC114" s="27">
        <f t="shared" si="108"/>
        <v>0</v>
      </c>
      <c r="BD114" s="27">
        <v>0</v>
      </c>
      <c r="BE114" s="27">
        <f t="shared" si="109"/>
        <v>0</v>
      </c>
      <c r="BG114" s="26">
        <f t="shared" si="110"/>
        <v>0</v>
      </c>
      <c r="BH114" s="26">
        <f t="shared" si="111"/>
        <v>0</v>
      </c>
      <c r="BI114" s="26">
        <f t="shared" si="112"/>
        <v>0</v>
      </c>
    </row>
    <row r="115" spans="1:61" ht="12.75">
      <c r="A115" s="24" t="s">
        <v>106</v>
      </c>
      <c r="B115" s="25"/>
      <c r="C115" s="25" t="s">
        <v>353</v>
      </c>
      <c r="D115" s="25" t="s">
        <v>600</v>
      </c>
      <c r="E115" s="25" t="s">
        <v>753</v>
      </c>
      <c r="F115" s="26">
        <v>1</v>
      </c>
      <c r="G115" s="1">
        <v>0</v>
      </c>
      <c r="H115" s="26">
        <f t="shared" si="89"/>
        <v>0</v>
      </c>
      <c r="I115" s="26">
        <f t="shared" si="90"/>
        <v>0</v>
      </c>
      <c r="J115" s="26">
        <f t="shared" si="91"/>
        <v>0</v>
      </c>
      <c r="K115" s="26">
        <v>0</v>
      </c>
      <c r="L115" s="26">
        <f t="shared" si="92"/>
        <v>0</v>
      </c>
      <c r="Y115" s="27">
        <f t="shared" si="93"/>
        <v>0</v>
      </c>
      <c r="AA115" s="27">
        <f t="shared" si="94"/>
        <v>0</v>
      </c>
      <c r="AB115" s="27">
        <f t="shared" si="95"/>
        <v>0</v>
      </c>
      <c r="AC115" s="27">
        <f t="shared" si="96"/>
        <v>0</v>
      </c>
      <c r="AD115" s="27">
        <f t="shared" si="97"/>
        <v>0</v>
      </c>
      <c r="AE115" s="27">
        <f t="shared" si="98"/>
        <v>0</v>
      </c>
      <c r="AF115" s="27">
        <f t="shared" si="99"/>
        <v>0</v>
      </c>
      <c r="AG115" s="27">
        <f t="shared" si="100"/>
        <v>0</v>
      </c>
      <c r="AH115" s="17"/>
      <c r="AI115" s="26">
        <f t="shared" si="101"/>
        <v>0</v>
      </c>
      <c r="AJ115" s="26">
        <f t="shared" si="102"/>
        <v>0</v>
      </c>
      <c r="AK115" s="26">
        <f t="shared" si="103"/>
        <v>0</v>
      </c>
      <c r="AM115" s="27">
        <v>21</v>
      </c>
      <c r="AN115" s="27">
        <f>G115*0</f>
        <v>0</v>
      </c>
      <c r="AO115" s="27">
        <f>G115*(1-0)</f>
        <v>0</v>
      </c>
      <c r="AP115" s="28" t="s">
        <v>13</v>
      </c>
      <c r="AU115" s="27">
        <f t="shared" si="104"/>
        <v>0</v>
      </c>
      <c r="AV115" s="27">
        <f t="shared" si="105"/>
        <v>0</v>
      </c>
      <c r="AW115" s="27">
        <f t="shared" si="106"/>
        <v>0</v>
      </c>
      <c r="AX115" s="29" t="s">
        <v>785</v>
      </c>
      <c r="AY115" s="29" t="s">
        <v>793</v>
      </c>
      <c r="AZ115" s="17" t="s">
        <v>796</v>
      </c>
      <c r="BB115" s="27">
        <f t="shared" si="107"/>
        <v>0</v>
      </c>
      <c r="BC115" s="27">
        <f t="shared" si="108"/>
        <v>0</v>
      </c>
      <c r="BD115" s="27">
        <v>0</v>
      </c>
      <c r="BE115" s="27">
        <f t="shared" si="109"/>
        <v>0</v>
      </c>
      <c r="BG115" s="26">
        <f t="shared" si="110"/>
        <v>0</v>
      </c>
      <c r="BH115" s="26">
        <f t="shared" si="111"/>
        <v>0</v>
      </c>
      <c r="BI115" s="26">
        <f t="shared" si="112"/>
        <v>0</v>
      </c>
    </row>
    <row r="116" spans="1:61" ht="12.75">
      <c r="A116" s="24" t="s">
        <v>107</v>
      </c>
      <c r="B116" s="25"/>
      <c r="C116" s="25" t="s">
        <v>354</v>
      </c>
      <c r="D116" s="25" t="s">
        <v>601</v>
      </c>
      <c r="E116" s="25" t="s">
        <v>753</v>
      </c>
      <c r="F116" s="26">
        <v>1</v>
      </c>
      <c r="G116" s="1">
        <v>0</v>
      </c>
      <c r="H116" s="26">
        <f t="shared" si="89"/>
        <v>0</v>
      </c>
      <c r="I116" s="26">
        <f t="shared" si="90"/>
        <v>0</v>
      </c>
      <c r="J116" s="26">
        <f t="shared" si="91"/>
        <v>0</v>
      </c>
      <c r="K116" s="26">
        <v>0</v>
      </c>
      <c r="L116" s="26">
        <f t="shared" si="92"/>
        <v>0</v>
      </c>
      <c r="Y116" s="27">
        <f t="shared" si="93"/>
        <v>0</v>
      </c>
      <c r="AA116" s="27">
        <f t="shared" si="94"/>
        <v>0</v>
      </c>
      <c r="AB116" s="27">
        <f t="shared" si="95"/>
        <v>0</v>
      </c>
      <c r="AC116" s="27">
        <f t="shared" si="96"/>
        <v>0</v>
      </c>
      <c r="AD116" s="27">
        <f t="shared" si="97"/>
        <v>0</v>
      </c>
      <c r="AE116" s="27">
        <f t="shared" si="98"/>
        <v>0</v>
      </c>
      <c r="AF116" s="27">
        <f t="shared" si="99"/>
        <v>0</v>
      </c>
      <c r="AG116" s="27">
        <f t="shared" si="100"/>
        <v>0</v>
      </c>
      <c r="AH116" s="17"/>
      <c r="AI116" s="26">
        <f t="shared" si="101"/>
        <v>0</v>
      </c>
      <c r="AJ116" s="26">
        <f t="shared" si="102"/>
        <v>0</v>
      </c>
      <c r="AK116" s="26">
        <f t="shared" si="103"/>
        <v>0</v>
      </c>
      <c r="AM116" s="27">
        <v>21</v>
      </c>
      <c r="AN116" s="27">
        <f>G116*0</f>
        <v>0</v>
      </c>
      <c r="AO116" s="27">
        <f>G116*(1-0)</f>
        <v>0</v>
      </c>
      <c r="AP116" s="28" t="s">
        <v>13</v>
      </c>
      <c r="AU116" s="27">
        <f t="shared" si="104"/>
        <v>0</v>
      </c>
      <c r="AV116" s="27">
        <f t="shared" si="105"/>
        <v>0</v>
      </c>
      <c r="AW116" s="27">
        <f t="shared" si="106"/>
        <v>0</v>
      </c>
      <c r="AX116" s="29" t="s">
        <v>785</v>
      </c>
      <c r="AY116" s="29" t="s">
        <v>793</v>
      </c>
      <c r="AZ116" s="17" t="s">
        <v>796</v>
      </c>
      <c r="BB116" s="27">
        <f t="shared" si="107"/>
        <v>0</v>
      </c>
      <c r="BC116" s="27">
        <f t="shared" si="108"/>
        <v>0</v>
      </c>
      <c r="BD116" s="27">
        <v>0</v>
      </c>
      <c r="BE116" s="27">
        <f t="shared" si="109"/>
        <v>0</v>
      </c>
      <c r="BG116" s="26">
        <f t="shared" si="110"/>
        <v>0</v>
      </c>
      <c r="BH116" s="26">
        <f t="shared" si="111"/>
        <v>0</v>
      </c>
      <c r="BI116" s="26">
        <f t="shared" si="112"/>
        <v>0</v>
      </c>
    </row>
    <row r="117" spans="1:61" ht="12.75">
      <c r="A117" s="24" t="s">
        <v>108</v>
      </c>
      <c r="B117" s="25"/>
      <c r="C117" s="25" t="s">
        <v>355</v>
      </c>
      <c r="D117" s="25" t="s">
        <v>602</v>
      </c>
      <c r="E117" s="25" t="s">
        <v>753</v>
      </c>
      <c r="F117" s="26">
        <v>1</v>
      </c>
      <c r="G117" s="1">
        <v>0</v>
      </c>
      <c r="H117" s="26">
        <f t="shared" si="89"/>
        <v>0</v>
      </c>
      <c r="I117" s="26">
        <f t="shared" si="90"/>
        <v>0</v>
      </c>
      <c r="J117" s="26">
        <f t="shared" si="91"/>
        <v>0</v>
      </c>
      <c r="K117" s="26">
        <v>0</v>
      </c>
      <c r="L117" s="26">
        <f t="shared" si="92"/>
        <v>0</v>
      </c>
      <c r="Y117" s="27">
        <f t="shared" si="93"/>
        <v>0</v>
      </c>
      <c r="AA117" s="27">
        <f t="shared" si="94"/>
        <v>0</v>
      </c>
      <c r="AB117" s="27">
        <f t="shared" si="95"/>
        <v>0</v>
      </c>
      <c r="AC117" s="27">
        <f t="shared" si="96"/>
        <v>0</v>
      </c>
      <c r="AD117" s="27">
        <f t="shared" si="97"/>
        <v>0</v>
      </c>
      <c r="AE117" s="27">
        <f t="shared" si="98"/>
        <v>0</v>
      </c>
      <c r="AF117" s="27">
        <f t="shared" si="99"/>
        <v>0</v>
      </c>
      <c r="AG117" s="27">
        <f t="shared" si="100"/>
        <v>0</v>
      </c>
      <c r="AH117" s="17"/>
      <c r="AI117" s="26">
        <f t="shared" si="101"/>
        <v>0</v>
      </c>
      <c r="AJ117" s="26">
        <f t="shared" si="102"/>
        <v>0</v>
      </c>
      <c r="AK117" s="26">
        <f t="shared" si="103"/>
        <v>0</v>
      </c>
      <c r="AM117" s="27">
        <v>21</v>
      </c>
      <c r="AN117" s="27">
        <f>G117*0</f>
        <v>0</v>
      </c>
      <c r="AO117" s="27">
        <f>G117*(1-0)</f>
        <v>0</v>
      </c>
      <c r="AP117" s="28" t="s">
        <v>13</v>
      </c>
      <c r="AU117" s="27">
        <f t="shared" si="104"/>
        <v>0</v>
      </c>
      <c r="AV117" s="27">
        <f t="shared" si="105"/>
        <v>0</v>
      </c>
      <c r="AW117" s="27">
        <f t="shared" si="106"/>
        <v>0</v>
      </c>
      <c r="AX117" s="29" t="s">
        <v>785</v>
      </c>
      <c r="AY117" s="29" t="s">
        <v>793</v>
      </c>
      <c r="AZ117" s="17" t="s">
        <v>796</v>
      </c>
      <c r="BB117" s="27">
        <f t="shared" si="107"/>
        <v>0</v>
      </c>
      <c r="BC117" s="27">
        <f t="shared" si="108"/>
        <v>0</v>
      </c>
      <c r="BD117" s="27">
        <v>0</v>
      </c>
      <c r="BE117" s="27">
        <f t="shared" si="109"/>
        <v>0</v>
      </c>
      <c r="BG117" s="26">
        <f t="shared" si="110"/>
        <v>0</v>
      </c>
      <c r="BH117" s="26">
        <f t="shared" si="111"/>
        <v>0</v>
      </c>
      <c r="BI117" s="26">
        <f t="shared" si="112"/>
        <v>0</v>
      </c>
    </row>
    <row r="118" spans="1:61" ht="12.75">
      <c r="A118" s="24" t="s">
        <v>109</v>
      </c>
      <c r="B118" s="25"/>
      <c r="C118" s="25" t="s">
        <v>356</v>
      </c>
      <c r="D118" s="25" t="s">
        <v>603</v>
      </c>
      <c r="E118" s="25" t="s">
        <v>753</v>
      </c>
      <c r="F118" s="26">
        <v>1</v>
      </c>
      <c r="G118" s="1">
        <v>0</v>
      </c>
      <c r="H118" s="26">
        <f t="shared" si="89"/>
        <v>0</v>
      </c>
      <c r="I118" s="26">
        <f t="shared" si="90"/>
        <v>0</v>
      </c>
      <c r="J118" s="26">
        <f t="shared" si="91"/>
        <v>0</v>
      </c>
      <c r="K118" s="26">
        <v>0</v>
      </c>
      <c r="L118" s="26">
        <f t="shared" si="92"/>
        <v>0</v>
      </c>
      <c r="Y118" s="27">
        <f t="shared" si="93"/>
        <v>0</v>
      </c>
      <c r="AA118" s="27">
        <f t="shared" si="94"/>
        <v>0</v>
      </c>
      <c r="AB118" s="27">
        <f t="shared" si="95"/>
        <v>0</v>
      </c>
      <c r="AC118" s="27">
        <f t="shared" si="96"/>
        <v>0</v>
      </c>
      <c r="AD118" s="27">
        <f t="shared" si="97"/>
        <v>0</v>
      </c>
      <c r="AE118" s="27">
        <f t="shared" si="98"/>
        <v>0</v>
      </c>
      <c r="AF118" s="27">
        <f t="shared" si="99"/>
        <v>0</v>
      </c>
      <c r="AG118" s="27">
        <f t="shared" si="100"/>
        <v>0</v>
      </c>
      <c r="AH118" s="17"/>
      <c r="AI118" s="26">
        <f t="shared" si="101"/>
        <v>0</v>
      </c>
      <c r="AJ118" s="26">
        <f t="shared" si="102"/>
        <v>0</v>
      </c>
      <c r="AK118" s="26">
        <f t="shared" si="103"/>
        <v>0</v>
      </c>
      <c r="AM118" s="27">
        <v>21</v>
      </c>
      <c r="AN118" s="27">
        <f>G118*0</f>
        <v>0</v>
      </c>
      <c r="AO118" s="27">
        <f>G118*(1-0)</f>
        <v>0</v>
      </c>
      <c r="AP118" s="28" t="s">
        <v>13</v>
      </c>
      <c r="AU118" s="27">
        <f t="shared" si="104"/>
        <v>0</v>
      </c>
      <c r="AV118" s="27">
        <f t="shared" si="105"/>
        <v>0</v>
      </c>
      <c r="AW118" s="27">
        <f t="shared" si="106"/>
        <v>0</v>
      </c>
      <c r="AX118" s="29" t="s">
        <v>785</v>
      </c>
      <c r="AY118" s="29" t="s">
        <v>793</v>
      </c>
      <c r="AZ118" s="17" t="s">
        <v>796</v>
      </c>
      <c r="BB118" s="27">
        <f t="shared" si="107"/>
        <v>0</v>
      </c>
      <c r="BC118" s="27">
        <f t="shared" si="108"/>
        <v>0</v>
      </c>
      <c r="BD118" s="27">
        <v>0</v>
      </c>
      <c r="BE118" s="27">
        <f t="shared" si="109"/>
        <v>0</v>
      </c>
      <c r="BG118" s="26">
        <f t="shared" si="110"/>
        <v>0</v>
      </c>
      <c r="BH118" s="26">
        <f t="shared" si="111"/>
        <v>0</v>
      </c>
      <c r="BI118" s="26">
        <f t="shared" si="112"/>
        <v>0</v>
      </c>
    </row>
    <row r="119" spans="1:61" ht="12.75">
      <c r="A119" s="24" t="s">
        <v>110</v>
      </c>
      <c r="B119" s="25"/>
      <c r="C119" s="25" t="s">
        <v>357</v>
      </c>
      <c r="D119" s="25" t="s">
        <v>604</v>
      </c>
      <c r="E119" s="25" t="s">
        <v>753</v>
      </c>
      <c r="F119" s="26">
        <v>1</v>
      </c>
      <c r="G119" s="1">
        <v>0</v>
      </c>
      <c r="H119" s="26">
        <f t="shared" si="89"/>
        <v>0</v>
      </c>
      <c r="I119" s="26">
        <f t="shared" si="90"/>
        <v>0</v>
      </c>
      <c r="J119" s="26">
        <f t="shared" si="91"/>
        <v>0</v>
      </c>
      <c r="K119" s="26">
        <v>2E-05</v>
      </c>
      <c r="L119" s="26">
        <f t="shared" si="92"/>
        <v>2E-05</v>
      </c>
      <c r="Y119" s="27">
        <f t="shared" si="93"/>
        <v>0</v>
      </c>
      <c r="AA119" s="27">
        <f t="shared" si="94"/>
        <v>0</v>
      </c>
      <c r="AB119" s="27">
        <f t="shared" si="95"/>
        <v>0</v>
      </c>
      <c r="AC119" s="27">
        <f t="shared" si="96"/>
        <v>0</v>
      </c>
      <c r="AD119" s="27">
        <f t="shared" si="97"/>
        <v>0</v>
      </c>
      <c r="AE119" s="27">
        <f t="shared" si="98"/>
        <v>0</v>
      </c>
      <c r="AF119" s="27">
        <f t="shared" si="99"/>
        <v>0</v>
      </c>
      <c r="AG119" s="27">
        <f t="shared" si="100"/>
        <v>0</v>
      </c>
      <c r="AH119" s="17"/>
      <c r="AI119" s="26">
        <f t="shared" si="101"/>
        <v>0</v>
      </c>
      <c r="AJ119" s="26">
        <f t="shared" si="102"/>
        <v>0</v>
      </c>
      <c r="AK119" s="26">
        <f t="shared" si="103"/>
        <v>0</v>
      </c>
      <c r="AM119" s="27">
        <v>21</v>
      </c>
      <c r="AN119" s="27">
        <f>G119*0.0363619156777901</f>
        <v>0</v>
      </c>
      <c r="AO119" s="27">
        <f>G119*(1-0.0363619156777901)</f>
        <v>0</v>
      </c>
      <c r="AP119" s="28" t="s">
        <v>13</v>
      </c>
      <c r="AU119" s="27">
        <f t="shared" si="104"/>
        <v>0</v>
      </c>
      <c r="AV119" s="27">
        <f t="shared" si="105"/>
        <v>0</v>
      </c>
      <c r="AW119" s="27">
        <f t="shared" si="106"/>
        <v>0</v>
      </c>
      <c r="AX119" s="29" t="s">
        <v>785</v>
      </c>
      <c r="AY119" s="29" t="s">
        <v>793</v>
      </c>
      <c r="AZ119" s="17" t="s">
        <v>796</v>
      </c>
      <c r="BB119" s="27">
        <f t="shared" si="107"/>
        <v>0</v>
      </c>
      <c r="BC119" s="27">
        <f t="shared" si="108"/>
        <v>0</v>
      </c>
      <c r="BD119" s="27">
        <v>0</v>
      </c>
      <c r="BE119" s="27">
        <f t="shared" si="109"/>
        <v>2E-05</v>
      </c>
      <c r="BG119" s="26">
        <f t="shared" si="110"/>
        <v>0</v>
      </c>
      <c r="BH119" s="26">
        <f t="shared" si="111"/>
        <v>0</v>
      </c>
      <c r="BI119" s="26">
        <f t="shared" si="112"/>
        <v>0</v>
      </c>
    </row>
    <row r="120" spans="1:61" ht="12.75">
      <c r="A120" s="24" t="s">
        <v>111</v>
      </c>
      <c r="B120" s="25"/>
      <c r="C120" s="25" t="s">
        <v>358</v>
      </c>
      <c r="D120" s="25" t="s">
        <v>605</v>
      </c>
      <c r="E120" s="25" t="s">
        <v>753</v>
      </c>
      <c r="F120" s="26">
        <v>1</v>
      </c>
      <c r="G120" s="1">
        <v>0</v>
      </c>
      <c r="H120" s="26">
        <f t="shared" si="89"/>
        <v>0</v>
      </c>
      <c r="I120" s="26">
        <f t="shared" si="90"/>
        <v>0</v>
      </c>
      <c r="J120" s="26">
        <f t="shared" si="91"/>
        <v>0</v>
      </c>
      <c r="K120" s="26">
        <v>2E-05</v>
      </c>
      <c r="L120" s="26">
        <f t="shared" si="92"/>
        <v>2E-05</v>
      </c>
      <c r="Y120" s="27">
        <f t="shared" si="93"/>
        <v>0</v>
      </c>
      <c r="AA120" s="27">
        <f t="shared" si="94"/>
        <v>0</v>
      </c>
      <c r="AB120" s="27">
        <f t="shared" si="95"/>
        <v>0</v>
      </c>
      <c r="AC120" s="27">
        <f t="shared" si="96"/>
        <v>0</v>
      </c>
      <c r="AD120" s="27">
        <f t="shared" si="97"/>
        <v>0</v>
      </c>
      <c r="AE120" s="27">
        <f t="shared" si="98"/>
        <v>0</v>
      </c>
      <c r="AF120" s="27">
        <f t="shared" si="99"/>
        <v>0</v>
      </c>
      <c r="AG120" s="27">
        <f t="shared" si="100"/>
        <v>0</v>
      </c>
      <c r="AH120" s="17"/>
      <c r="AI120" s="26">
        <f t="shared" si="101"/>
        <v>0</v>
      </c>
      <c r="AJ120" s="26">
        <f t="shared" si="102"/>
        <v>0</v>
      </c>
      <c r="AK120" s="26">
        <f t="shared" si="103"/>
        <v>0</v>
      </c>
      <c r="AM120" s="27">
        <v>21</v>
      </c>
      <c r="AN120" s="27">
        <f>G120*0.0363194748358862</f>
        <v>0</v>
      </c>
      <c r="AO120" s="27">
        <f>G120*(1-0.0363194748358862)</f>
        <v>0</v>
      </c>
      <c r="AP120" s="28" t="s">
        <v>13</v>
      </c>
      <c r="AU120" s="27">
        <f t="shared" si="104"/>
        <v>0</v>
      </c>
      <c r="AV120" s="27">
        <f t="shared" si="105"/>
        <v>0</v>
      </c>
      <c r="AW120" s="27">
        <f t="shared" si="106"/>
        <v>0</v>
      </c>
      <c r="AX120" s="29" t="s">
        <v>785</v>
      </c>
      <c r="AY120" s="29" t="s">
        <v>793</v>
      </c>
      <c r="AZ120" s="17" t="s">
        <v>796</v>
      </c>
      <c r="BB120" s="27">
        <f t="shared" si="107"/>
        <v>0</v>
      </c>
      <c r="BC120" s="27">
        <f t="shared" si="108"/>
        <v>0</v>
      </c>
      <c r="BD120" s="27">
        <v>0</v>
      </c>
      <c r="BE120" s="27">
        <f t="shared" si="109"/>
        <v>2E-05</v>
      </c>
      <c r="BG120" s="26">
        <f t="shared" si="110"/>
        <v>0</v>
      </c>
      <c r="BH120" s="26">
        <f t="shared" si="111"/>
        <v>0</v>
      </c>
      <c r="BI120" s="26">
        <f t="shared" si="112"/>
        <v>0</v>
      </c>
    </row>
    <row r="121" spans="1:61" ht="12.75">
      <c r="A121" s="24" t="s">
        <v>112</v>
      </c>
      <c r="B121" s="25"/>
      <c r="C121" s="25" t="s">
        <v>359</v>
      </c>
      <c r="D121" s="25" t="s">
        <v>606</v>
      </c>
      <c r="E121" s="25" t="s">
        <v>750</v>
      </c>
      <c r="F121" s="26">
        <v>1</v>
      </c>
      <c r="G121" s="1">
        <v>0</v>
      </c>
      <c r="H121" s="26">
        <f t="shared" si="89"/>
        <v>0</v>
      </c>
      <c r="I121" s="26">
        <f t="shared" si="90"/>
        <v>0</v>
      </c>
      <c r="J121" s="26">
        <f t="shared" si="91"/>
        <v>0</v>
      </c>
      <c r="K121" s="26">
        <v>0.01695</v>
      </c>
      <c r="L121" s="26">
        <f t="shared" si="92"/>
        <v>0.01695</v>
      </c>
      <c r="Y121" s="27">
        <f t="shared" si="93"/>
        <v>0</v>
      </c>
      <c r="AA121" s="27">
        <f t="shared" si="94"/>
        <v>0</v>
      </c>
      <c r="AB121" s="27">
        <f t="shared" si="95"/>
        <v>0</v>
      </c>
      <c r="AC121" s="27">
        <f t="shared" si="96"/>
        <v>0</v>
      </c>
      <c r="AD121" s="27">
        <f t="shared" si="97"/>
        <v>0</v>
      </c>
      <c r="AE121" s="27">
        <f t="shared" si="98"/>
        <v>0</v>
      </c>
      <c r="AF121" s="27">
        <f t="shared" si="99"/>
        <v>0</v>
      </c>
      <c r="AG121" s="27">
        <f t="shared" si="100"/>
        <v>0</v>
      </c>
      <c r="AH121" s="17"/>
      <c r="AI121" s="26">
        <f t="shared" si="101"/>
        <v>0</v>
      </c>
      <c r="AJ121" s="26">
        <f t="shared" si="102"/>
        <v>0</v>
      </c>
      <c r="AK121" s="26">
        <f t="shared" si="103"/>
        <v>0</v>
      </c>
      <c r="AM121" s="27">
        <v>21</v>
      </c>
      <c r="AN121" s="27">
        <f>G121*0.8</f>
        <v>0</v>
      </c>
      <c r="AO121" s="27">
        <f>G121*(1-0.8)</f>
        <v>0</v>
      </c>
      <c r="AP121" s="28" t="s">
        <v>13</v>
      </c>
      <c r="AU121" s="27">
        <f t="shared" si="104"/>
        <v>0</v>
      </c>
      <c r="AV121" s="27">
        <f t="shared" si="105"/>
        <v>0</v>
      </c>
      <c r="AW121" s="27">
        <f t="shared" si="106"/>
        <v>0</v>
      </c>
      <c r="AX121" s="29" t="s">
        <v>785</v>
      </c>
      <c r="AY121" s="29" t="s">
        <v>793</v>
      </c>
      <c r="AZ121" s="17" t="s">
        <v>796</v>
      </c>
      <c r="BB121" s="27">
        <f t="shared" si="107"/>
        <v>0</v>
      </c>
      <c r="BC121" s="27">
        <f t="shared" si="108"/>
        <v>0</v>
      </c>
      <c r="BD121" s="27">
        <v>0</v>
      </c>
      <c r="BE121" s="27">
        <f t="shared" si="109"/>
        <v>0.01695</v>
      </c>
      <c r="BG121" s="26">
        <f t="shared" si="110"/>
        <v>0</v>
      </c>
      <c r="BH121" s="26">
        <f t="shared" si="111"/>
        <v>0</v>
      </c>
      <c r="BI121" s="26">
        <f t="shared" si="112"/>
        <v>0</v>
      </c>
    </row>
    <row r="122" spans="4:7" ht="12">
      <c r="D122" s="39" t="s">
        <v>607</v>
      </c>
      <c r="G122" s="26"/>
    </row>
    <row r="123" spans="1:61" ht="12.75">
      <c r="A123" s="24" t="s">
        <v>113</v>
      </c>
      <c r="B123" s="25"/>
      <c r="C123" s="25" t="s">
        <v>360</v>
      </c>
      <c r="D123" s="25" t="s">
        <v>608</v>
      </c>
      <c r="E123" s="25" t="s">
        <v>753</v>
      </c>
      <c r="F123" s="26">
        <v>1</v>
      </c>
      <c r="G123" s="1">
        <v>0</v>
      </c>
      <c r="H123" s="26">
        <f aca="true" t="shared" si="113" ref="H123:H137">F123*AN123</f>
        <v>0</v>
      </c>
      <c r="I123" s="26">
        <f aca="true" t="shared" si="114" ref="I123:I137">F123*AO123</f>
        <v>0</v>
      </c>
      <c r="J123" s="26">
        <f aca="true" t="shared" si="115" ref="J123:J137">F123*G123</f>
        <v>0</v>
      </c>
      <c r="K123" s="26">
        <v>0</v>
      </c>
      <c r="L123" s="26">
        <f aca="true" t="shared" si="116" ref="L123:L137">F123*K123</f>
        <v>0</v>
      </c>
      <c r="Y123" s="27">
        <f aca="true" t="shared" si="117" ref="Y123:Y137">IF(AP123="5",BI123,0)</f>
        <v>0</v>
      </c>
      <c r="AA123" s="27">
        <f aca="true" t="shared" si="118" ref="AA123:AA137">IF(AP123="1",BG123,0)</f>
        <v>0</v>
      </c>
      <c r="AB123" s="27">
        <f aca="true" t="shared" si="119" ref="AB123:AB137">IF(AP123="1",BH123,0)</f>
        <v>0</v>
      </c>
      <c r="AC123" s="27">
        <f aca="true" t="shared" si="120" ref="AC123:AC137">IF(AP123="7",BG123,0)</f>
        <v>0</v>
      </c>
      <c r="AD123" s="27">
        <f aca="true" t="shared" si="121" ref="AD123:AD137">IF(AP123="7",BH123,0)</f>
        <v>0</v>
      </c>
      <c r="AE123" s="27">
        <f aca="true" t="shared" si="122" ref="AE123:AE137">IF(AP123="2",BG123,0)</f>
        <v>0</v>
      </c>
      <c r="AF123" s="27">
        <f aca="true" t="shared" si="123" ref="AF123:AF137">IF(AP123="2",BH123,0)</f>
        <v>0</v>
      </c>
      <c r="AG123" s="27">
        <f aca="true" t="shared" si="124" ref="AG123:AG137">IF(AP123="0",BI123,0)</f>
        <v>0</v>
      </c>
      <c r="AH123" s="17"/>
      <c r="AI123" s="26">
        <f aca="true" t="shared" si="125" ref="AI123:AI137">IF(AM123=0,J123,0)</f>
        <v>0</v>
      </c>
      <c r="AJ123" s="26">
        <f aca="true" t="shared" si="126" ref="AJ123:AJ137">IF(AM123=15,J123,0)</f>
        <v>0</v>
      </c>
      <c r="AK123" s="26">
        <f aca="true" t="shared" si="127" ref="AK123:AK137">IF(AM123=21,J123,0)</f>
        <v>0</v>
      </c>
      <c r="AM123" s="27">
        <v>21</v>
      </c>
      <c r="AN123" s="27">
        <f aca="true" t="shared" si="128" ref="AN123:AN137">G123*0</f>
        <v>0</v>
      </c>
      <c r="AO123" s="27">
        <f aca="true" t="shared" si="129" ref="AO123:AO137">G123*(1-0)</f>
        <v>0</v>
      </c>
      <c r="AP123" s="28" t="s">
        <v>13</v>
      </c>
      <c r="AU123" s="27">
        <f aca="true" t="shared" si="130" ref="AU123:AU137">AV123+AW123</f>
        <v>0</v>
      </c>
      <c r="AV123" s="27">
        <f aca="true" t="shared" si="131" ref="AV123:AV137">F123*AN123</f>
        <v>0</v>
      </c>
      <c r="AW123" s="27">
        <f aca="true" t="shared" si="132" ref="AW123:AW137">F123*AO123</f>
        <v>0</v>
      </c>
      <c r="AX123" s="29" t="s">
        <v>785</v>
      </c>
      <c r="AY123" s="29" t="s">
        <v>793</v>
      </c>
      <c r="AZ123" s="17" t="s">
        <v>796</v>
      </c>
      <c r="BB123" s="27">
        <f aca="true" t="shared" si="133" ref="BB123:BB137">AV123+AW123</f>
        <v>0</v>
      </c>
      <c r="BC123" s="27">
        <f aca="true" t="shared" si="134" ref="BC123:BC137">G123/(100-BD123)*100</f>
        <v>0</v>
      </c>
      <c r="BD123" s="27">
        <v>0</v>
      </c>
      <c r="BE123" s="27">
        <f aca="true" t="shared" si="135" ref="BE123:BE137">L123</f>
        <v>0</v>
      </c>
      <c r="BG123" s="26">
        <f aca="true" t="shared" si="136" ref="BG123:BG137">F123*AN123</f>
        <v>0</v>
      </c>
      <c r="BH123" s="26">
        <f aca="true" t="shared" si="137" ref="BH123:BH137">F123*AO123</f>
        <v>0</v>
      </c>
      <c r="BI123" s="26">
        <f aca="true" t="shared" si="138" ref="BI123:BI137">F123*G123</f>
        <v>0</v>
      </c>
    </row>
    <row r="124" spans="1:61" ht="12.75">
      <c r="A124" s="24" t="s">
        <v>114</v>
      </c>
      <c r="B124" s="25"/>
      <c r="C124" s="25" t="s">
        <v>361</v>
      </c>
      <c r="D124" s="25" t="s">
        <v>609</v>
      </c>
      <c r="E124" s="25" t="s">
        <v>753</v>
      </c>
      <c r="F124" s="26">
        <v>1</v>
      </c>
      <c r="G124" s="1">
        <v>0</v>
      </c>
      <c r="H124" s="26">
        <f t="shared" si="113"/>
        <v>0</v>
      </c>
      <c r="I124" s="26">
        <f t="shared" si="114"/>
        <v>0</v>
      </c>
      <c r="J124" s="26">
        <f t="shared" si="115"/>
        <v>0</v>
      </c>
      <c r="K124" s="26">
        <v>0</v>
      </c>
      <c r="L124" s="26">
        <f t="shared" si="116"/>
        <v>0</v>
      </c>
      <c r="Y124" s="27">
        <f t="shared" si="117"/>
        <v>0</v>
      </c>
      <c r="AA124" s="27">
        <f t="shared" si="118"/>
        <v>0</v>
      </c>
      <c r="AB124" s="27">
        <f t="shared" si="119"/>
        <v>0</v>
      </c>
      <c r="AC124" s="27">
        <f t="shared" si="120"/>
        <v>0</v>
      </c>
      <c r="AD124" s="27">
        <f t="shared" si="121"/>
        <v>0</v>
      </c>
      <c r="AE124" s="27">
        <f t="shared" si="122"/>
        <v>0</v>
      </c>
      <c r="AF124" s="27">
        <f t="shared" si="123"/>
        <v>0</v>
      </c>
      <c r="AG124" s="27">
        <f t="shared" si="124"/>
        <v>0</v>
      </c>
      <c r="AH124" s="17"/>
      <c r="AI124" s="26">
        <f t="shared" si="125"/>
        <v>0</v>
      </c>
      <c r="AJ124" s="26">
        <f t="shared" si="126"/>
        <v>0</v>
      </c>
      <c r="AK124" s="26">
        <f t="shared" si="127"/>
        <v>0</v>
      </c>
      <c r="AM124" s="27">
        <v>21</v>
      </c>
      <c r="AN124" s="27">
        <f t="shared" si="128"/>
        <v>0</v>
      </c>
      <c r="AO124" s="27">
        <f t="shared" si="129"/>
        <v>0</v>
      </c>
      <c r="AP124" s="28" t="s">
        <v>13</v>
      </c>
      <c r="AU124" s="27">
        <f t="shared" si="130"/>
        <v>0</v>
      </c>
      <c r="AV124" s="27">
        <f t="shared" si="131"/>
        <v>0</v>
      </c>
      <c r="AW124" s="27">
        <f t="shared" si="132"/>
        <v>0</v>
      </c>
      <c r="AX124" s="29" t="s">
        <v>785</v>
      </c>
      <c r="AY124" s="29" t="s">
        <v>793</v>
      </c>
      <c r="AZ124" s="17" t="s">
        <v>796</v>
      </c>
      <c r="BB124" s="27">
        <f t="shared" si="133"/>
        <v>0</v>
      </c>
      <c r="BC124" s="27">
        <f t="shared" si="134"/>
        <v>0</v>
      </c>
      <c r="BD124" s="27">
        <v>0</v>
      </c>
      <c r="BE124" s="27">
        <f t="shared" si="135"/>
        <v>0</v>
      </c>
      <c r="BG124" s="26">
        <f t="shared" si="136"/>
        <v>0</v>
      </c>
      <c r="BH124" s="26">
        <f t="shared" si="137"/>
        <v>0</v>
      </c>
      <c r="BI124" s="26">
        <f t="shared" si="138"/>
        <v>0</v>
      </c>
    </row>
    <row r="125" spans="1:61" ht="12.75">
      <c r="A125" s="24" t="s">
        <v>115</v>
      </c>
      <c r="B125" s="25"/>
      <c r="C125" s="25" t="s">
        <v>362</v>
      </c>
      <c r="D125" s="25" t="s">
        <v>610</v>
      </c>
      <c r="E125" s="25" t="s">
        <v>753</v>
      </c>
      <c r="F125" s="26">
        <v>1</v>
      </c>
      <c r="G125" s="1">
        <v>0</v>
      </c>
      <c r="H125" s="26">
        <f t="shared" si="113"/>
        <v>0</v>
      </c>
      <c r="I125" s="26">
        <f t="shared" si="114"/>
        <v>0</v>
      </c>
      <c r="J125" s="26">
        <f t="shared" si="115"/>
        <v>0</v>
      </c>
      <c r="K125" s="26">
        <v>0</v>
      </c>
      <c r="L125" s="26">
        <f t="shared" si="116"/>
        <v>0</v>
      </c>
      <c r="Y125" s="27">
        <f t="shared" si="117"/>
        <v>0</v>
      </c>
      <c r="AA125" s="27">
        <f t="shared" si="118"/>
        <v>0</v>
      </c>
      <c r="AB125" s="27">
        <f t="shared" si="119"/>
        <v>0</v>
      </c>
      <c r="AC125" s="27">
        <f t="shared" si="120"/>
        <v>0</v>
      </c>
      <c r="AD125" s="27">
        <f t="shared" si="121"/>
        <v>0</v>
      </c>
      <c r="AE125" s="27">
        <f t="shared" si="122"/>
        <v>0</v>
      </c>
      <c r="AF125" s="27">
        <f t="shared" si="123"/>
        <v>0</v>
      </c>
      <c r="AG125" s="27">
        <f t="shared" si="124"/>
        <v>0</v>
      </c>
      <c r="AH125" s="17"/>
      <c r="AI125" s="26">
        <f t="shared" si="125"/>
        <v>0</v>
      </c>
      <c r="AJ125" s="26">
        <f t="shared" si="126"/>
        <v>0</v>
      </c>
      <c r="AK125" s="26">
        <f t="shared" si="127"/>
        <v>0</v>
      </c>
      <c r="AM125" s="27">
        <v>21</v>
      </c>
      <c r="AN125" s="27">
        <f t="shared" si="128"/>
        <v>0</v>
      </c>
      <c r="AO125" s="27">
        <f t="shared" si="129"/>
        <v>0</v>
      </c>
      <c r="AP125" s="28" t="s">
        <v>13</v>
      </c>
      <c r="AU125" s="27">
        <f t="shared" si="130"/>
        <v>0</v>
      </c>
      <c r="AV125" s="27">
        <f t="shared" si="131"/>
        <v>0</v>
      </c>
      <c r="AW125" s="27">
        <f t="shared" si="132"/>
        <v>0</v>
      </c>
      <c r="AX125" s="29" t="s">
        <v>785</v>
      </c>
      <c r="AY125" s="29" t="s">
        <v>793</v>
      </c>
      <c r="AZ125" s="17" t="s">
        <v>796</v>
      </c>
      <c r="BB125" s="27">
        <f t="shared" si="133"/>
        <v>0</v>
      </c>
      <c r="BC125" s="27">
        <f t="shared" si="134"/>
        <v>0</v>
      </c>
      <c r="BD125" s="27">
        <v>0</v>
      </c>
      <c r="BE125" s="27">
        <f t="shared" si="135"/>
        <v>0</v>
      </c>
      <c r="BG125" s="26">
        <f t="shared" si="136"/>
        <v>0</v>
      </c>
      <c r="BH125" s="26">
        <f t="shared" si="137"/>
        <v>0</v>
      </c>
      <c r="BI125" s="26">
        <f t="shared" si="138"/>
        <v>0</v>
      </c>
    </row>
    <row r="126" spans="1:61" ht="12.75">
      <c r="A126" s="24" t="s">
        <v>116</v>
      </c>
      <c r="B126" s="25"/>
      <c r="C126" s="25" t="s">
        <v>363</v>
      </c>
      <c r="D126" s="25" t="s">
        <v>611</v>
      </c>
      <c r="E126" s="25" t="s">
        <v>753</v>
      </c>
      <c r="F126" s="26">
        <v>1</v>
      </c>
      <c r="G126" s="1">
        <v>0</v>
      </c>
      <c r="H126" s="26">
        <f t="shared" si="113"/>
        <v>0</v>
      </c>
      <c r="I126" s="26">
        <f t="shared" si="114"/>
        <v>0</v>
      </c>
      <c r="J126" s="26">
        <f t="shared" si="115"/>
        <v>0</v>
      </c>
      <c r="K126" s="26">
        <v>0</v>
      </c>
      <c r="L126" s="26">
        <f t="shared" si="116"/>
        <v>0</v>
      </c>
      <c r="Y126" s="27">
        <f t="shared" si="117"/>
        <v>0</v>
      </c>
      <c r="AA126" s="27">
        <f t="shared" si="118"/>
        <v>0</v>
      </c>
      <c r="AB126" s="27">
        <f t="shared" si="119"/>
        <v>0</v>
      </c>
      <c r="AC126" s="27">
        <f t="shared" si="120"/>
        <v>0</v>
      </c>
      <c r="AD126" s="27">
        <f t="shared" si="121"/>
        <v>0</v>
      </c>
      <c r="AE126" s="27">
        <f t="shared" si="122"/>
        <v>0</v>
      </c>
      <c r="AF126" s="27">
        <f t="shared" si="123"/>
        <v>0</v>
      </c>
      <c r="AG126" s="27">
        <f t="shared" si="124"/>
        <v>0</v>
      </c>
      <c r="AH126" s="17"/>
      <c r="AI126" s="26">
        <f t="shared" si="125"/>
        <v>0</v>
      </c>
      <c r="AJ126" s="26">
        <f t="shared" si="126"/>
        <v>0</v>
      </c>
      <c r="AK126" s="26">
        <f t="shared" si="127"/>
        <v>0</v>
      </c>
      <c r="AM126" s="27">
        <v>21</v>
      </c>
      <c r="AN126" s="27">
        <f t="shared" si="128"/>
        <v>0</v>
      </c>
      <c r="AO126" s="27">
        <f t="shared" si="129"/>
        <v>0</v>
      </c>
      <c r="AP126" s="28" t="s">
        <v>13</v>
      </c>
      <c r="AU126" s="27">
        <f t="shared" si="130"/>
        <v>0</v>
      </c>
      <c r="AV126" s="27">
        <f t="shared" si="131"/>
        <v>0</v>
      </c>
      <c r="AW126" s="27">
        <f t="shared" si="132"/>
        <v>0</v>
      </c>
      <c r="AX126" s="29" t="s">
        <v>785</v>
      </c>
      <c r="AY126" s="29" t="s">
        <v>793</v>
      </c>
      <c r="AZ126" s="17" t="s">
        <v>796</v>
      </c>
      <c r="BB126" s="27">
        <f t="shared" si="133"/>
        <v>0</v>
      </c>
      <c r="BC126" s="27">
        <f t="shared" si="134"/>
        <v>0</v>
      </c>
      <c r="BD126" s="27">
        <v>0</v>
      </c>
      <c r="BE126" s="27">
        <f t="shared" si="135"/>
        <v>0</v>
      </c>
      <c r="BG126" s="26">
        <f t="shared" si="136"/>
        <v>0</v>
      </c>
      <c r="BH126" s="26">
        <f t="shared" si="137"/>
        <v>0</v>
      </c>
      <c r="BI126" s="26">
        <f t="shared" si="138"/>
        <v>0</v>
      </c>
    </row>
    <row r="127" spans="1:61" ht="12.75">
      <c r="A127" s="24" t="s">
        <v>117</v>
      </c>
      <c r="B127" s="25"/>
      <c r="C127" s="25" t="s">
        <v>364</v>
      </c>
      <c r="D127" s="25" t="s">
        <v>612</v>
      </c>
      <c r="E127" s="25" t="s">
        <v>752</v>
      </c>
      <c r="F127" s="26">
        <v>1</v>
      </c>
      <c r="G127" s="1">
        <v>0</v>
      </c>
      <c r="H127" s="26">
        <f t="shared" si="113"/>
        <v>0</v>
      </c>
      <c r="I127" s="26">
        <f t="shared" si="114"/>
        <v>0</v>
      </c>
      <c r="J127" s="26">
        <f t="shared" si="115"/>
        <v>0</v>
      </c>
      <c r="K127" s="26">
        <v>0</v>
      </c>
      <c r="L127" s="26">
        <f t="shared" si="116"/>
        <v>0</v>
      </c>
      <c r="Y127" s="27">
        <f t="shared" si="117"/>
        <v>0</v>
      </c>
      <c r="AA127" s="27">
        <f t="shared" si="118"/>
        <v>0</v>
      </c>
      <c r="AB127" s="27">
        <f t="shared" si="119"/>
        <v>0</v>
      </c>
      <c r="AC127" s="27">
        <f t="shared" si="120"/>
        <v>0</v>
      </c>
      <c r="AD127" s="27">
        <f t="shared" si="121"/>
        <v>0</v>
      </c>
      <c r="AE127" s="27">
        <f t="shared" si="122"/>
        <v>0</v>
      </c>
      <c r="AF127" s="27">
        <f t="shared" si="123"/>
        <v>0</v>
      </c>
      <c r="AG127" s="27">
        <f t="shared" si="124"/>
        <v>0</v>
      </c>
      <c r="AH127" s="17"/>
      <c r="AI127" s="26">
        <f t="shared" si="125"/>
        <v>0</v>
      </c>
      <c r="AJ127" s="26">
        <f t="shared" si="126"/>
        <v>0</v>
      </c>
      <c r="AK127" s="26">
        <f t="shared" si="127"/>
        <v>0</v>
      </c>
      <c r="AM127" s="27">
        <v>21</v>
      </c>
      <c r="AN127" s="27">
        <f t="shared" si="128"/>
        <v>0</v>
      </c>
      <c r="AO127" s="27">
        <f t="shared" si="129"/>
        <v>0</v>
      </c>
      <c r="AP127" s="28" t="s">
        <v>11</v>
      </c>
      <c r="AU127" s="27">
        <f t="shared" si="130"/>
        <v>0</v>
      </c>
      <c r="AV127" s="27">
        <f t="shared" si="131"/>
        <v>0</v>
      </c>
      <c r="AW127" s="27">
        <f t="shared" si="132"/>
        <v>0</v>
      </c>
      <c r="AX127" s="29" t="s">
        <v>785</v>
      </c>
      <c r="AY127" s="29" t="s">
        <v>793</v>
      </c>
      <c r="AZ127" s="17" t="s">
        <v>796</v>
      </c>
      <c r="BB127" s="27">
        <f t="shared" si="133"/>
        <v>0</v>
      </c>
      <c r="BC127" s="27">
        <f t="shared" si="134"/>
        <v>0</v>
      </c>
      <c r="BD127" s="27">
        <v>0</v>
      </c>
      <c r="BE127" s="27">
        <f t="shared" si="135"/>
        <v>0</v>
      </c>
      <c r="BG127" s="26">
        <f t="shared" si="136"/>
        <v>0</v>
      </c>
      <c r="BH127" s="26">
        <f t="shared" si="137"/>
        <v>0</v>
      </c>
      <c r="BI127" s="26">
        <f t="shared" si="138"/>
        <v>0</v>
      </c>
    </row>
    <row r="128" spans="1:61" ht="12.75">
      <c r="A128" s="24" t="s">
        <v>118</v>
      </c>
      <c r="B128" s="25"/>
      <c r="C128" s="25" t="s">
        <v>365</v>
      </c>
      <c r="D128" s="25" t="s">
        <v>613</v>
      </c>
      <c r="E128" s="25" t="s">
        <v>752</v>
      </c>
      <c r="F128" s="26">
        <v>1</v>
      </c>
      <c r="G128" s="1">
        <v>0</v>
      </c>
      <c r="H128" s="26">
        <f t="shared" si="113"/>
        <v>0</v>
      </c>
      <c r="I128" s="26">
        <f t="shared" si="114"/>
        <v>0</v>
      </c>
      <c r="J128" s="26">
        <f t="shared" si="115"/>
        <v>0</v>
      </c>
      <c r="K128" s="26">
        <v>0</v>
      </c>
      <c r="L128" s="26">
        <f t="shared" si="116"/>
        <v>0</v>
      </c>
      <c r="Y128" s="27">
        <f t="shared" si="117"/>
        <v>0</v>
      </c>
      <c r="AA128" s="27">
        <f t="shared" si="118"/>
        <v>0</v>
      </c>
      <c r="AB128" s="27">
        <f t="shared" si="119"/>
        <v>0</v>
      </c>
      <c r="AC128" s="27">
        <f t="shared" si="120"/>
        <v>0</v>
      </c>
      <c r="AD128" s="27">
        <f t="shared" si="121"/>
        <v>0</v>
      </c>
      <c r="AE128" s="27">
        <f t="shared" si="122"/>
        <v>0</v>
      </c>
      <c r="AF128" s="27">
        <f t="shared" si="123"/>
        <v>0</v>
      </c>
      <c r="AG128" s="27">
        <f t="shared" si="124"/>
        <v>0</v>
      </c>
      <c r="AH128" s="17"/>
      <c r="AI128" s="26">
        <f t="shared" si="125"/>
        <v>0</v>
      </c>
      <c r="AJ128" s="26">
        <f t="shared" si="126"/>
        <v>0</v>
      </c>
      <c r="AK128" s="26">
        <f t="shared" si="127"/>
        <v>0</v>
      </c>
      <c r="AM128" s="27">
        <v>21</v>
      </c>
      <c r="AN128" s="27">
        <f t="shared" si="128"/>
        <v>0</v>
      </c>
      <c r="AO128" s="27">
        <f t="shared" si="129"/>
        <v>0</v>
      </c>
      <c r="AP128" s="28" t="s">
        <v>11</v>
      </c>
      <c r="AU128" s="27">
        <f t="shared" si="130"/>
        <v>0</v>
      </c>
      <c r="AV128" s="27">
        <f t="shared" si="131"/>
        <v>0</v>
      </c>
      <c r="AW128" s="27">
        <f t="shared" si="132"/>
        <v>0</v>
      </c>
      <c r="AX128" s="29" t="s">
        <v>785</v>
      </c>
      <c r="AY128" s="29" t="s">
        <v>793</v>
      </c>
      <c r="AZ128" s="17" t="s">
        <v>796</v>
      </c>
      <c r="BB128" s="27">
        <f t="shared" si="133"/>
        <v>0</v>
      </c>
      <c r="BC128" s="27">
        <f t="shared" si="134"/>
        <v>0</v>
      </c>
      <c r="BD128" s="27">
        <v>0</v>
      </c>
      <c r="BE128" s="27">
        <f t="shared" si="135"/>
        <v>0</v>
      </c>
      <c r="BG128" s="26">
        <f t="shared" si="136"/>
        <v>0</v>
      </c>
      <c r="BH128" s="26">
        <f t="shared" si="137"/>
        <v>0</v>
      </c>
      <c r="BI128" s="26">
        <f t="shared" si="138"/>
        <v>0</v>
      </c>
    </row>
    <row r="129" spans="1:61" ht="12.75">
      <c r="A129" s="24" t="s">
        <v>119</v>
      </c>
      <c r="B129" s="25"/>
      <c r="C129" s="25" t="s">
        <v>366</v>
      </c>
      <c r="D129" s="25" t="s">
        <v>614</v>
      </c>
      <c r="E129" s="25" t="s">
        <v>752</v>
      </c>
      <c r="F129" s="26">
        <v>1</v>
      </c>
      <c r="G129" s="1">
        <v>0</v>
      </c>
      <c r="H129" s="26">
        <f t="shared" si="113"/>
        <v>0</v>
      </c>
      <c r="I129" s="26">
        <f t="shared" si="114"/>
        <v>0</v>
      </c>
      <c r="J129" s="26">
        <f t="shared" si="115"/>
        <v>0</v>
      </c>
      <c r="K129" s="26">
        <v>0</v>
      </c>
      <c r="L129" s="26">
        <f t="shared" si="116"/>
        <v>0</v>
      </c>
      <c r="Y129" s="27">
        <f t="shared" si="117"/>
        <v>0</v>
      </c>
      <c r="AA129" s="27">
        <f t="shared" si="118"/>
        <v>0</v>
      </c>
      <c r="AB129" s="27">
        <f t="shared" si="119"/>
        <v>0</v>
      </c>
      <c r="AC129" s="27">
        <f t="shared" si="120"/>
        <v>0</v>
      </c>
      <c r="AD129" s="27">
        <f t="shared" si="121"/>
        <v>0</v>
      </c>
      <c r="AE129" s="27">
        <f t="shared" si="122"/>
        <v>0</v>
      </c>
      <c r="AF129" s="27">
        <f t="shared" si="123"/>
        <v>0</v>
      </c>
      <c r="AG129" s="27">
        <f t="shared" si="124"/>
        <v>0</v>
      </c>
      <c r="AH129" s="17"/>
      <c r="AI129" s="26">
        <f t="shared" si="125"/>
        <v>0</v>
      </c>
      <c r="AJ129" s="26">
        <f t="shared" si="126"/>
        <v>0</v>
      </c>
      <c r="AK129" s="26">
        <f t="shared" si="127"/>
        <v>0</v>
      </c>
      <c r="AM129" s="27">
        <v>21</v>
      </c>
      <c r="AN129" s="27">
        <f t="shared" si="128"/>
        <v>0</v>
      </c>
      <c r="AO129" s="27">
        <f t="shared" si="129"/>
        <v>0</v>
      </c>
      <c r="AP129" s="28" t="s">
        <v>11</v>
      </c>
      <c r="AU129" s="27">
        <f t="shared" si="130"/>
        <v>0</v>
      </c>
      <c r="AV129" s="27">
        <f t="shared" si="131"/>
        <v>0</v>
      </c>
      <c r="AW129" s="27">
        <f t="shared" si="132"/>
        <v>0</v>
      </c>
      <c r="AX129" s="29" t="s">
        <v>785</v>
      </c>
      <c r="AY129" s="29" t="s">
        <v>793</v>
      </c>
      <c r="AZ129" s="17" t="s">
        <v>796</v>
      </c>
      <c r="BB129" s="27">
        <f t="shared" si="133"/>
        <v>0</v>
      </c>
      <c r="BC129" s="27">
        <f t="shared" si="134"/>
        <v>0</v>
      </c>
      <c r="BD129" s="27">
        <v>0</v>
      </c>
      <c r="BE129" s="27">
        <f t="shared" si="135"/>
        <v>0</v>
      </c>
      <c r="BG129" s="26">
        <f t="shared" si="136"/>
        <v>0</v>
      </c>
      <c r="BH129" s="26">
        <f t="shared" si="137"/>
        <v>0</v>
      </c>
      <c r="BI129" s="26">
        <f t="shared" si="138"/>
        <v>0</v>
      </c>
    </row>
    <row r="130" spans="1:61" ht="12.75">
      <c r="A130" s="24" t="s">
        <v>120</v>
      </c>
      <c r="B130" s="25"/>
      <c r="C130" s="25" t="s">
        <v>367</v>
      </c>
      <c r="D130" s="25" t="s">
        <v>615</v>
      </c>
      <c r="E130" s="25" t="s">
        <v>754</v>
      </c>
      <c r="F130" s="26">
        <v>1</v>
      </c>
      <c r="G130" s="1">
        <v>0</v>
      </c>
      <c r="H130" s="26">
        <f t="shared" si="113"/>
        <v>0</v>
      </c>
      <c r="I130" s="26">
        <f t="shared" si="114"/>
        <v>0</v>
      </c>
      <c r="J130" s="26">
        <f t="shared" si="115"/>
        <v>0</v>
      </c>
      <c r="K130" s="26">
        <v>0</v>
      </c>
      <c r="L130" s="26">
        <f t="shared" si="116"/>
        <v>0</v>
      </c>
      <c r="Y130" s="27">
        <f t="shared" si="117"/>
        <v>0</v>
      </c>
      <c r="AA130" s="27">
        <f t="shared" si="118"/>
        <v>0</v>
      </c>
      <c r="AB130" s="27">
        <f t="shared" si="119"/>
        <v>0</v>
      </c>
      <c r="AC130" s="27">
        <f t="shared" si="120"/>
        <v>0</v>
      </c>
      <c r="AD130" s="27">
        <f t="shared" si="121"/>
        <v>0</v>
      </c>
      <c r="AE130" s="27">
        <f t="shared" si="122"/>
        <v>0</v>
      </c>
      <c r="AF130" s="27">
        <f t="shared" si="123"/>
        <v>0</v>
      </c>
      <c r="AG130" s="27">
        <f t="shared" si="124"/>
        <v>0</v>
      </c>
      <c r="AH130" s="17"/>
      <c r="AI130" s="26">
        <f t="shared" si="125"/>
        <v>0</v>
      </c>
      <c r="AJ130" s="26">
        <f t="shared" si="126"/>
        <v>0</v>
      </c>
      <c r="AK130" s="26">
        <f t="shared" si="127"/>
        <v>0</v>
      </c>
      <c r="AM130" s="27">
        <v>21</v>
      </c>
      <c r="AN130" s="27">
        <f t="shared" si="128"/>
        <v>0</v>
      </c>
      <c r="AO130" s="27">
        <f t="shared" si="129"/>
        <v>0</v>
      </c>
      <c r="AP130" s="28" t="s">
        <v>11</v>
      </c>
      <c r="AU130" s="27">
        <f t="shared" si="130"/>
        <v>0</v>
      </c>
      <c r="AV130" s="27">
        <f t="shared" si="131"/>
        <v>0</v>
      </c>
      <c r="AW130" s="27">
        <f t="shared" si="132"/>
        <v>0</v>
      </c>
      <c r="AX130" s="29" t="s">
        <v>785</v>
      </c>
      <c r="AY130" s="29" t="s">
        <v>793</v>
      </c>
      <c r="AZ130" s="17" t="s">
        <v>796</v>
      </c>
      <c r="BB130" s="27">
        <f t="shared" si="133"/>
        <v>0</v>
      </c>
      <c r="BC130" s="27">
        <f t="shared" si="134"/>
        <v>0</v>
      </c>
      <c r="BD130" s="27">
        <v>0</v>
      </c>
      <c r="BE130" s="27">
        <f t="shared" si="135"/>
        <v>0</v>
      </c>
      <c r="BG130" s="26">
        <f t="shared" si="136"/>
        <v>0</v>
      </c>
      <c r="BH130" s="26">
        <f t="shared" si="137"/>
        <v>0</v>
      </c>
      <c r="BI130" s="26">
        <f t="shared" si="138"/>
        <v>0</v>
      </c>
    </row>
    <row r="131" spans="1:61" ht="12.75">
      <c r="A131" s="24" t="s">
        <v>121</v>
      </c>
      <c r="B131" s="25"/>
      <c r="C131" s="25" t="s">
        <v>368</v>
      </c>
      <c r="D131" s="25" t="s">
        <v>616</v>
      </c>
      <c r="E131" s="25" t="s">
        <v>754</v>
      </c>
      <c r="F131" s="26">
        <v>1</v>
      </c>
      <c r="G131" s="1">
        <v>0</v>
      </c>
      <c r="H131" s="26">
        <f t="shared" si="113"/>
        <v>0</v>
      </c>
      <c r="I131" s="26">
        <f t="shared" si="114"/>
        <v>0</v>
      </c>
      <c r="J131" s="26">
        <f t="shared" si="115"/>
        <v>0</v>
      </c>
      <c r="K131" s="26">
        <v>0</v>
      </c>
      <c r="L131" s="26">
        <f t="shared" si="116"/>
        <v>0</v>
      </c>
      <c r="Y131" s="27">
        <f t="shared" si="117"/>
        <v>0</v>
      </c>
      <c r="AA131" s="27">
        <f t="shared" si="118"/>
        <v>0</v>
      </c>
      <c r="AB131" s="27">
        <f t="shared" si="119"/>
        <v>0</v>
      </c>
      <c r="AC131" s="27">
        <f t="shared" si="120"/>
        <v>0</v>
      </c>
      <c r="AD131" s="27">
        <f t="shared" si="121"/>
        <v>0</v>
      </c>
      <c r="AE131" s="27">
        <f t="shared" si="122"/>
        <v>0</v>
      </c>
      <c r="AF131" s="27">
        <f t="shared" si="123"/>
        <v>0</v>
      </c>
      <c r="AG131" s="27">
        <f t="shared" si="124"/>
        <v>0</v>
      </c>
      <c r="AH131" s="17"/>
      <c r="AI131" s="26">
        <f t="shared" si="125"/>
        <v>0</v>
      </c>
      <c r="AJ131" s="26">
        <f t="shared" si="126"/>
        <v>0</v>
      </c>
      <c r="AK131" s="26">
        <f t="shared" si="127"/>
        <v>0</v>
      </c>
      <c r="AM131" s="27">
        <v>21</v>
      </c>
      <c r="AN131" s="27">
        <f t="shared" si="128"/>
        <v>0</v>
      </c>
      <c r="AO131" s="27">
        <f t="shared" si="129"/>
        <v>0</v>
      </c>
      <c r="AP131" s="28" t="s">
        <v>11</v>
      </c>
      <c r="AU131" s="27">
        <f t="shared" si="130"/>
        <v>0</v>
      </c>
      <c r="AV131" s="27">
        <f t="shared" si="131"/>
        <v>0</v>
      </c>
      <c r="AW131" s="27">
        <f t="shared" si="132"/>
        <v>0</v>
      </c>
      <c r="AX131" s="29" t="s">
        <v>785</v>
      </c>
      <c r="AY131" s="29" t="s">
        <v>793</v>
      </c>
      <c r="AZ131" s="17" t="s">
        <v>796</v>
      </c>
      <c r="BB131" s="27">
        <f t="shared" si="133"/>
        <v>0</v>
      </c>
      <c r="BC131" s="27">
        <f t="shared" si="134"/>
        <v>0</v>
      </c>
      <c r="BD131" s="27">
        <v>0</v>
      </c>
      <c r="BE131" s="27">
        <f t="shared" si="135"/>
        <v>0</v>
      </c>
      <c r="BG131" s="26">
        <f t="shared" si="136"/>
        <v>0</v>
      </c>
      <c r="BH131" s="26">
        <f t="shared" si="137"/>
        <v>0</v>
      </c>
      <c r="BI131" s="26">
        <f t="shared" si="138"/>
        <v>0</v>
      </c>
    </row>
    <row r="132" spans="1:61" ht="12.75">
      <c r="A132" s="24" t="s">
        <v>122</v>
      </c>
      <c r="B132" s="25"/>
      <c r="C132" s="25" t="s">
        <v>369</v>
      </c>
      <c r="D132" s="25" t="s">
        <v>617</v>
      </c>
      <c r="E132" s="25" t="s">
        <v>754</v>
      </c>
      <c r="F132" s="26">
        <v>1</v>
      </c>
      <c r="G132" s="1">
        <v>0</v>
      </c>
      <c r="H132" s="26">
        <f t="shared" si="113"/>
        <v>0</v>
      </c>
      <c r="I132" s="26">
        <f t="shared" si="114"/>
        <v>0</v>
      </c>
      <c r="J132" s="26">
        <f t="shared" si="115"/>
        <v>0</v>
      </c>
      <c r="K132" s="26">
        <v>0</v>
      </c>
      <c r="L132" s="26">
        <f t="shared" si="116"/>
        <v>0</v>
      </c>
      <c r="Y132" s="27">
        <f t="shared" si="117"/>
        <v>0</v>
      </c>
      <c r="AA132" s="27">
        <f t="shared" si="118"/>
        <v>0</v>
      </c>
      <c r="AB132" s="27">
        <f t="shared" si="119"/>
        <v>0</v>
      </c>
      <c r="AC132" s="27">
        <f t="shared" si="120"/>
        <v>0</v>
      </c>
      <c r="AD132" s="27">
        <f t="shared" si="121"/>
        <v>0</v>
      </c>
      <c r="AE132" s="27">
        <f t="shared" si="122"/>
        <v>0</v>
      </c>
      <c r="AF132" s="27">
        <f t="shared" si="123"/>
        <v>0</v>
      </c>
      <c r="AG132" s="27">
        <f t="shared" si="124"/>
        <v>0</v>
      </c>
      <c r="AH132" s="17"/>
      <c r="AI132" s="26">
        <f t="shared" si="125"/>
        <v>0</v>
      </c>
      <c r="AJ132" s="26">
        <f t="shared" si="126"/>
        <v>0</v>
      </c>
      <c r="AK132" s="26">
        <f t="shared" si="127"/>
        <v>0</v>
      </c>
      <c r="AM132" s="27">
        <v>21</v>
      </c>
      <c r="AN132" s="27">
        <f t="shared" si="128"/>
        <v>0</v>
      </c>
      <c r="AO132" s="27">
        <f t="shared" si="129"/>
        <v>0</v>
      </c>
      <c r="AP132" s="28" t="s">
        <v>11</v>
      </c>
      <c r="AU132" s="27">
        <f t="shared" si="130"/>
        <v>0</v>
      </c>
      <c r="AV132" s="27">
        <f t="shared" si="131"/>
        <v>0</v>
      </c>
      <c r="AW132" s="27">
        <f t="shared" si="132"/>
        <v>0</v>
      </c>
      <c r="AX132" s="29" t="s">
        <v>785</v>
      </c>
      <c r="AY132" s="29" t="s">
        <v>793</v>
      </c>
      <c r="AZ132" s="17" t="s">
        <v>796</v>
      </c>
      <c r="BB132" s="27">
        <f t="shared" si="133"/>
        <v>0</v>
      </c>
      <c r="BC132" s="27">
        <f t="shared" si="134"/>
        <v>0</v>
      </c>
      <c r="BD132" s="27">
        <v>0</v>
      </c>
      <c r="BE132" s="27">
        <f t="shared" si="135"/>
        <v>0</v>
      </c>
      <c r="BG132" s="26">
        <f t="shared" si="136"/>
        <v>0</v>
      </c>
      <c r="BH132" s="26">
        <f t="shared" si="137"/>
        <v>0</v>
      </c>
      <c r="BI132" s="26">
        <f t="shared" si="138"/>
        <v>0</v>
      </c>
    </row>
    <row r="133" spans="1:61" ht="12.75">
      <c r="A133" s="24" t="s">
        <v>123</v>
      </c>
      <c r="B133" s="25"/>
      <c r="C133" s="25" t="s">
        <v>370</v>
      </c>
      <c r="D133" s="25" t="s">
        <v>618</v>
      </c>
      <c r="E133" s="25" t="s">
        <v>754</v>
      </c>
      <c r="F133" s="26">
        <v>1</v>
      </c>
      <c r="G133" s="1">
        <v>0</v>
      </c>
      <c r="H133" s="26">
        <f t="shared" si="113"/>
        <v>0</v>
      </c>
      <c r="I133" s="26">
        <f t="shared" si="114"/>
        <v>0</v>
      </c>
      <c r="J133" s="26">
        <f t="shared" si="115"/>
        <v>0</v>
      </c>
      <c r="K133" s="26">
        <v>0</v>
      </c>
      <c r="L133" s="26">
        <f t="shared" si="116"/>
        <v>0</v>
      </c>
      <c r="Y133" s="27">
        <f t="shared" si="117"/>
        <v>0</v>
      </c>
      <c r="AA133" s="27">
        <f t="shared" si="118"/>
        <v>0</v>
      </c>
      <c r="AB133" s="27">
        <f t="shared" si="119"/>
        <v>0</v>
      </c>
      <c r="AC133" s="27">
        <f t="shared" si="120"/>
        <v>0</v>
      </c>
      <c r="AD133" s="27">
        <f t="shared" si="121"/>
        <v>0</v>
      </c>
      <c r="AE133" s="27">
        <f t="shared" si="122"/>
        <v>0</v>
      </c>
      <c r="AF133" s="27">
        <f t="shared" si="123"/>
        <v>0</v>
      </c>
      <c r="AG133" s="27">
        <f t="shared" si="124"/>
        <v>0</v>
      </c>
      <c r="AH133" s="17"/>
      <c r="AI133" s="26">
        <f t="shared" si="125"/>
        <v>0</v>
      </c>
      <c r="AJ133" s="26">
        <f t="shared" si="126"/>
        <v>0</v>
      </c>
      <c r="AK133" s="26">
        <f t="shared" si="127"/>
        <v>0</v>
      </c>
      <c r="AM133" s="27">
        <v>21</v>
      </c>
      <c r="AN133" s="27">
        <f t="shared" si="128"/>
        <v>0</v>
      </c>
      <c r="AO133" s="27">
        <f t="shared" si="129"/>
        <v>0</v>
      </c>
      <c r="AP133" s="28" t="s">
        <v>11</v>
      </c>
      <c r="AU133" s="27">
        <f t="shared" si="130"/>
        <v>0</v>
      </c>
      <c r="AV133" s="27">
        <f t="shared" si="131"/>
        <v>0</v>
      </c>
      <c r="AW133" s="27">
        <f t="shared" si="132"/>
        <v>0</v>
      </c>
      <c r="AX133" s="29" t="s">
        <v>785</v>
      </c>
      <c r="AY133" s="29" t="s">
        <v>793</v>
      </c>
      <c r="AZ133" s="17" t="s">
        <v>796</v>
      </c>
      <c r="BB133" s="27">
        <f t="shared" si="133"/>
        <v>0</v>
      </c>
      <c r="BC133" s="27">
        <f t="shared" si="134"/>
        <v>0</v>
      </c>
      <c r="BD133" s="27">
        <v>0</v>
      </c>
      <c r="BE133" s="27">
        <f t="shared" si="135"/>
        <v>0</v>
      </c>
      <c r="BG133" s="26">
        <f t="shared" si="136"/>
        <v>0</v>
      </c>
      <c r="BH133" s="26">
        <f t="shared" si="137"/>
        <v>0</v>
      </c>
      <c r="BI133" s="26">
        <f t="shared" si="138"/>
        <v>0</v>
      </c>
    </row>
    <row r="134" spans="1:61" ht="12.75">
      <c r="A134" s="24" t="s">
        <v>124</v>
      </c>
      <c r="B134" s="25"/>
      <c r="C134" s="25" t="s">
        <v>371</v>
      </c>
      <c r="D134" s="25" t="s">
        <v>619</v>
      </c>
      <c r="E134" s="25" t="s">
        <v>754</v>
      </c>
      <c r="F134" s="26">
        <v>1</v>
      </c>
      <c r="G134" s="1">
        <v>0</v>
      </c>
      <c r="H134" s="26">
        <f t="shared" si="113"/>
        <v>0</v>
      </c>
      <c r="I134" s="26">
        <f t="shared" si="114"/>
        <v>0</v>
      </c>
      <c r="J134" s="26">
        <f t="shared" si="115"/>
        <v>0</v>
      </c>
      <c r="K134" s="26">
        <v>0</v>
      </c>
      <c r="L134" s="26">
        <f t="shared" si="116"/>
        <v>0</v>
      </c>
      <c r="Y134" s="27">
        <f t="shared" si="117"/>
        <v>0</v>
      </c>
      <c r="AA134" s="27">
        <f t="shared" si="118"/>
        <v>0</v>
      </c>
      <c r="AB134" s="27">
        <f t="shared" si="119"/>
        <v>0</v>
      </c>
      <c r="AC134" s="27">
        <f t="shared" si="120"/>
        <v>0</v>
      </c>
      <c r="AD134" s="27">
        <f t="shared" si="121"/>
        <v>0</v>
      </c>
      <c r="AE134" s="27">
        <f t="shared" si="122"/>
        <v>0</v>
      </c>
      <c r="AF134" s="27">
        <f t="shared" si="123"/>
        <v>0</v>
      </c>
      <c r="AG134" s="27">
        <f t="shared" si="124"/>
        <v>0</v>
      </c>
      <c r="AH134" s="17"/>
      <c r="AI134" s="26">
        <f t="shared" si="125"/>
        <v>0</v>
      </c>
      <c r="AJ134" s="26">
        <f t="shared" si="126"/>
        <v>0</v>
      </c>
      <c r="AK134" s="26">
        <f t="shared" si="127"/>
        <v>0</v>
      </c>
      <c r="AM134" s="27">
        <v>21</v>
      </c>
      <c r="AN134" s="27">
        <f t="shared" si="128"/>
        <v>0</v>
      </c>
      <c r="AO134" s="27">
        <f t="shared" si="129"/>
        <v>0</v>
      </c>
      <c r="AP134" s="28" t="s">
        <v>11</v>
      </c>
      <c r="AU134" s="27">
        <f t="shared" si="130"/>
        <v>0</v>
      </c>
      <c r="AV134" s="27">
        <f t="shared" si="131"/>
        <v>0</v>
      </c>
      <c r="AW134" s="27">
        <f t="shared" si="132"/>
        <v>0</v>
      </c>
      <c r="AX134" s="29" t="s">
        <v>785</v>
      </c>
      <c r="AY134" s="29" t="s">
        <v>793</v>
      </c>
      <c r="AZ134" s="17" t="s">
        <v>796</v>
      </c>
      <c r="BB134" s="27">
        <f t="shared" si="133"/>
        <v>0</v>
      </c>
      <c r="BC134" s="27">
        <f t="shared" si="134"/>
        <v>0</v>
      </c>
      <c r="BD134" s="27">
        <v>0</v>
      </c>
      <c r="BE134" s="27">
        <f t="shared" si="135"/>
        <v>0</v>
      </c>
      <c r="BG134" s="26">
        <f t="shared" si="136"/>
        <v>0</v>
      </c>
      <c r="BH134" s="26">
        <f t="shared" si="137"/>
        <v>0</v>
      </c>
      <c r="BI134" s="26">
        <f t="shared" si="138"/>
        <v>0</v>
      </c>
    </row>
    <row r="135" spans="1:61" ht="12.75">
      <c r="A135" s="24" t="s">
        <v>125</v>
      </c>
      <c r="B135" s="25"/>
      <c r="C135" s="25" t="s">
        <v>372</v>
      </c>
      <c r="D135" s="25" t="s">
        <v>620</v>
      </c>
      <c r="E135" s="25" t="s">
        <v>754</v>
      </c>
      <c r="F135" s="26">
        <v>1</v>
      </c>
      <c r="G135" s="1">
        <v>0</v>
      </c>
      <c r="H135" s="26">
        <f t="shared" si="113"/>
        <v>0</v>
      </c>
      <c r="I135" s="26">
        <f t="shared" si="114"/>
        <v>0</v>
      </c>
      <c r="J135" s="26">
        <f t="shared" si="115"/>
        <v>0</v>
      </c>
      <c r="K135" s="26">
        <v>0</v>
      </c>
      <c r="L135" s="26">
        <f t="shared" si="116"/>
        <v>0</v>
      </c>
      <c r="Y135" s="27">
        <f t="shared" si="117"/>
        <v>0</v>
      </c>
      <c r="AA135" s="27">
        <f t="shared" si="118"/>
        <v>0</v>
      </c>
      <c r="AB135" s="27">
        <f t="shared" si="119"/>
        <v>0</v>
      </c>
      <c r="AC135" s="27">
        <f t="shared" si="120"/>
        <v>0</v>
      </c>
      <c r="AD135" s="27">
        <f t="shared" si="121"/>
        <v>0</v>
      </c>
      <c r="AE135" s="27">
        <f t="shared" si="122"/>
        <v>0</v>
      </c>
      <c r="AF135" s="27">
        <f t="shared" si="123"/>
        <v>0</v>
      </c>
      <c r="AG135" s="27">
        <f t="shared" si="124"/>
        <v>0</v>
      </c>
      <c r="AH135" s="17"/>
      <c r="AI135" s="26">
        <f t="shared" si="125"/>
        <v>0</v>
      </c>
      <c r="AJ135" s="26">
        <f t="shared" si="126"/>
        <v>0</v>
      </c>
      <c r="AK135" s="26">
        <f t="shared" si="127"/>
        <v>0</v>
      </c>
      <c r="AM135" s="27">
        <v>21</v>
      </c>
      <c r="AN135" s="27">
        <f t="shared" si="128"/>
        <v>0</v>
      </c>
      <c r="AO135" s="27">
        <f t="shared" si="129"/>
        <v>0</v>
      </c>
      <c r="AP135" s="28" t="s">
        <v>11</v>
      </c>
      <c r="AU135" s="27">
        <f t="shared" si="130"/>
        <v>0</v>
      </c>
      <c r="AV135" s="27">
        <f t="shared" si="131"/>
        <v>0</v>
      </c>
      <c r="AW135" s="27">
        <f t="shared" si="132"/>
        <v>0</v>
      </c>
      <c r="AX135" s="29" t="s">
        <v>785</v>
      </c>
      <c r="AY135" s="29" t="s">
        <v>793</v>
      </c>
      <c r="AZ135" s="17" t="s">
        <v>796</v>
      </c>
      <c r="BB135" s="27">
        <f t="shared" si="133"/>
        <v>0</v>
      </c>
      <c r="BC135" s="27">
        <f t="shared" si="134"/>
        <v>0</v>
      </c>
      <c r="BD135" s="27">
        <v>0</v>
      </c>
      <c r="BE135" s="27">
        <f t="shared" si="135"/>
        <v>0</v>
      </c>
      <c r="BG135" s="26">
        <f t="shared" si="136"/>
        <v>0</v>
      </c>
      <c r="BH135" s="26">
        <f t="shared" si="137"/>
        <v>0</v>
      </c>
      <c r="BI135" s="26">
        <f t="shared" si="138"/>
        <v>0</v>
      </c>
    </row>
    <row r="136" spans="1:61" ht="12.75">
      <c r="A136" s="24" t="s">
        <v>126</v>
      </c>
      <c r="B136" s="25"/>
      <c r="C136" s="25" t="s">
        <v>373</v>
      </c>
      <c r="D136" s="25" t="s">
        <v>621</v>
      </c>
      <c r="E136" s="25" t="s">
        <v>754</v>
      </c>
      <c r="F136" s="26">
        <v>1</v>
      </c>
      <c r="G136" s="1">
        <v>0</v>
      </c>
      <c r="H136" s="26">
        <f t="shared" si="113"/>
        <v>0</v>
      </c>
      <c r="I136" s="26">
        <f t="shared" si="114"/>
        <v>0</v>
      </c>
      <c r="J136" s="26">
        <f t="shared" si="115"/>
        <v>0</v>
      </c>
      <c r="K136" s="26">
        <v>0</v>
      </c>
      <c r="L136" s="26">
        <f t="shared" si="116"/>
        <v>0</v>
      </c>
      <c r="Y136" s="27">
        <f t="shared" si="117"/>
        <v>0</v>
      </c>
      <c r="AA136" s="27">
        <f t="shared" si="118"/>
        <v>0</v>
      </c>
      <c r="AB136" s="27">
        <f t="shared" si="119"/>
        <v>0</v>
      </c>
      <c r="AC136" s="27">
        <f t="shared" si="120"/>
        <v>0</v>
      </c>
      <c r="AD136" s="27">
        <f t="shared" si="121"/>
        <v>0</v>
      </c>
      <c r="AE136" s="27">
        <f t="shared" si="122"/>
        <v>0</v>
      </c>
      <c r="AF136" s="27">
        <f t="shared" si="123"/>
        <v>0</v>
      </c>
      <c r="AG136" s="27">
        <f t="shared" si="124"/>
        <v>0</v>
      </c>
      <c r="AH136" s="17"/>
      <c r="AI136" s="26">
        <f t="shared" si="125"/>
        <v>0</v>
      </c>
      <c r="AJ136" s="26">
        <f t="shared" si="126"/>
        <v>0</v>
      </c>
      <c r="AK136" s="26">
        <f t="shared" si="127"/>
        <v>0</v>
      </c>
      <c r="AM136" s="27">
        <v>21</v>
      </c>
      <c r="AN136" s="27">
        <f t="shared" si="128"/>
        <v>0</v>
      </c>
      <c r="AO136" s="27">
        <f t="shared" si="129"/>
        <v>0</v>
      </c>
      <c r="AP136" s="28" t="s">
        <v>11</v>
      </c>
      <c r="AU136" s="27">
        <f t="shared" si="130"/>
        <v>0</v>
      </c>
      <c r="AV136" s="27">
        <f t="shared" si="131"/>
        <v>0</v>
      </c>
      <c r="AW136" s="27">
        <f t="shared" si="132"/>
        <v>0</v>
      </c>
      <c r="AX136" s="29" t="s">
        <v>785</v>
      </c>
      <c r="AY136" s="29" t="s">
        <v>793</v>
      </c>
      <c r="AZ136" s="17" t="s">
        <v>796</v>
      </c>
      <c r="BB136" s="27">
        <f t="shared" si="133"/>
        <v>0</v>
      </c>
      <c r="BC136" s="27">
        <f t="shared" si="134"/>
        <v>0</v>
      </c>
      <c r="BD136" s="27">
        <v>0</v>
      </c>
      <c r="BE136" s="27">
        <f t="shared" si="135"/>
        <v>0</v>
      </c>
      <c r="BG136" s="26">
        <f t="shared" si="136"/>
        <v>0</v>
      </c>
      <c r="BH136" s="26">
        <f t="shared" si="137"/>
        <v>0</v>
      </c>
      <c r="BI136" s="26">
        <f t="shared" si="138"/>
        <v>0</v>
      </c>
    </row>
    <row r="137" spans="1:61" ht="12.75">
      <c r="A137" s="24" t="s">
        <v>127</v>
      </c>
      <c r="B137" s="25"/>
      <c r="C137" s="25" t="s">
        <v>374</v>
      </c>
      <c r="D137" s="25" t="s">
        <v>614</v>
      </c>
      <c r="E137" s="25" t="s">
        <v>754</v>
      </c>
      <c r="F137" s="26">
        <v>1</v>
      </c>
      <c r="G137" s="1">
        <v>0</v>
      </c>
      <c r="H137" s="26">
        <f t="shared" si="113"/>
        <v>0</v>
      </c>
      <c r="I137" s="26">
        <f t="shared" si="114"/>
        <v>0</v>
      </c>
      <c r="J137" s="26">
        <f t="shared" si="115"/>
        <v>0</v>
      </c>
      <c r="K137" s="26">
        <v>0</v>
      </c>
      <c r="L137" s="26">
        <f t="shared" si="116"/>
        <v>0</v>
      </c>
      <c r="Y137" s="27">
        <f t="shared" si="117"/>
        <v>0</v>
      </c>
      <c r="AA137" s="27">
        <f t="shared" si="118"/>
        <v>0</v>
      </c>
      <c r="AB137" s="27">
        <f t="shared" si="119"/>
        <v>0</v>
      </c>
      <c r="AC137" s="27">
        <f t="shared" si="120"/>
        <v>0</v>
      </c>
      <c r="AD137" s="27">
        <f t="shared" si="121"/>
        <v>0</v>
      </c>
      <c r="AE137" s="27">
        <f t="shared" si="122"/>
        <v>0</v>
      </c>
      <c r="AF137" s="27">
        <f t="shared" si="123"/>
        <v>0</v>
      </c>
      <c r="AG137" s="27">
        <f t="shared" si="124"/>
        <v>0</v>
      </c>
      <c r="AH137" s="17"/>
      <c r="AI137" s="26">
        <f t="shared" si="125"/>
        <v>0</v>
      </c>
      <c r="AJ137" s="26">
        <f t="shared" si="126"/>
        <v>0</v>
      </c>
      <c r="AK137" s="26">
        <f t="shared" si="127"/>
        <v>0</v>
      </c>
      <c r="AM137" s="27">
        <v>21</v>
      </c>
      <c r="AN137" s="27">
        <f t="shared" si="128"/>
        <v>0</v>
      </c>
      <c r="AO137" s="27">
        <f t="shared" si="129"/>
        <v>0</v>
      </c>
      <c r="AP137" s="28" t="s">
        <v>11</v>
      </c>
      <c r="AU137" s="27">
        <f t="shared" si="130"/>
        <v>0</v>
      </c>
      <c r="AV137" s="27">
        <f t="shared" si="131"/>
        <v>0</v>
      </c>
      <c r="AW137" s="27">
        <f t="shared" si="132"/>
        <v>0</v>
      </c>
      <c r="AX137" s="29" t="s">
        <v>785</v>
      </c>
      <c r="AY137" s="29" t="s">
        <v>793</v>
      </c>
      <c r="AZ137" s="17" t="s">
        <v>796</v>
      </c>
      <c r="BB137" s="27">
        <f t="shared" si="133"/>
        <v>0</v>
      </c>
      <c r="BC137" s="27">
        <f t="shared" si="134"/>
        <v>0</v>
      </c>
      <c r="BD137" s="27">
        <v>0</v>
      </c>
      <c r="BE137" s="27">
        <f t="shared" si="135"/>
        <v>0</v>
      </c>
      <c r="BG137" s="26">
        <f t="shared" si="136"/>
        <v>0</v>
      </c>
      <c r="BH137" s="26">
        <f t="shared" si="137"/>
        <v>0</v>
      </c>
      <c r="BI137" s="26">
        <f t="shared" si="138"/>
        <v>0</v>
      </c>
    </row>
    <row r="138" spans="1:46" ht="12.75">
      <c r="A138" s="30"/>
      <c r="B138" s="31"/>
      <c r="C138" s="31" t="s">
        <v>375</v>
      </c>
      <c r="D138" s="31" t="s">
        <v>622</v>
      </c>
      <c r="E138" s="32" t="s">
        <v>6</v>
      </c>
      <c r="F138" s="32" t="s">
        <v>6</v>
      </c>
      <c r="G138" s="32" t="s">
        <v>6</v>
      </c>
      <c r="H138" s="23">
        <f>SUM(H139:H173)</f>
        <v>0</v>
      </c>
      <c r="I138" s="23">
        <f>SUM(I139:I173)</f>
        <v>0</v>
      </c>
      <c r="J138" s="23">
        <f>SUM(J139:J173)</f>
        <v>0</v>
      </c>
      <c r="K138" s="17"/>
      <c r="L138" s="23">
        <f>SUM(L139:L173)</f>
        <v>0.0114</v>
      </c>
      <c r="AH138" s="17"/>
      <c r="AR138" s="23">
        <f>SUM(AI139:AI173)</f>
        <v>0</v>
      </c>
      <c r="AS138" s="23">
        <f>SUM(AJ139:AJ173)</f>
        <v>0</v>
      </c>
      <c r="AT138" s="23">
        <f>SUM(AK139:AK173)</f>
        <v>0</v>
      </c>
    </row>
    <row r="139" spans="1:61" ht="12.75">
      <c r="A139" s="24" t="s">
        <v>128</v>
      </c>
      <c r="B139" s="25"/>
      <c r="C139" s="25" t="s">
        <v>376</v>
      </c>
      <c r="D139" s="25" t="s">
        <v>623</v>
      </c>
      <c r="E139" s="25" t="s">
        <v>753</v>
      </c>
      <c r="F139" s="26">
        <v>1</v>
      </c>
      <c r="G139" s="1">
        <v>0</v>
      </c>
      <c r="H139" s="26">
        <f>F139*AN139</f>
        <v>0</v>
      </c>
      <c r="I139" s="26">
        <f>F139*AO139</f>
        <v>0</v>
      </c>
      <c r="J139" s="26">
        <f>F139*G139</f>
        <v>0</v>
      </c>
      <c r="K139" s="26">
        <v>0.001</v>
      </c>
      <c r="L139" s="26">
        <f>F139*K139</f>
        <v>0.001</v>
      </c>
      <c r="Y139" s="27">
        <f>IF(AP139="5",BI139,0)</f>
        <v>0</v>
      </c>
      <c r="AA139" s="27">
        <f>IF(AP139="1",BG139,0)</f>
        <v>0</v>
      </c>
      <c r="AB139" s="27">
        <f>IF(AP139="1",BH139,0)</f>
        <v>0</v>
      </c>
      <c r="AC139" s="27">
        <f>IF(AP139="7",BG139,0)</f>
        <v>0</v>
      </c>
      <c r="AD139" s="27">
        <f>IF(AP139="7",BH139,0)</f>
        <v>0</v>
      </c>
      <c r="AE139" s="27">
        <f>IF(AP139="2",BG139,0)</f>
        <v>0</v>
      </c>
      <c r="AF139" s="27">
        <f>IF(AP139="2",BH139,0)</f>
        <v>0</v>
      </c>
      <c r="AG139" s="27">
        <f>IF(AP139="0",BI139,0)</f>
        <v>0</v>
      </c>
      <c r="AH139" s="17"/>
      <c r="AI139" s="26">
        <f>IF(AM139=0,J139,0)</f>
        <v>0</v>
      </c>
      <c r="AJ139" s="26">
        <f>IF(AM139=15,J139,0)</f>
        <v>0</v>
      </c>
      <c r="AK139" s="26">
        <f>IF(AM139=21,J139,0)</f>
        <v>0</v>
      </c>
      <c r="AM139" s="27">
        <v>21</v>
      </c>
      <c r="AN139" s="27">
        <f>G139*0</f>
        <v>0</v>
      </c>
      <c r="AO139" s="27">
        <f>G139*(1-0)</f>
        <v>0</v>
      </c>
      <c r="AP139" s="28" t="s">
        <v>13</v>
      </c>
      <c r="AU139" s="27">
        <f>AV139+AW139</f>
        <v>0</v>
      </c>
      <c r="AV139" s="27">
        <f>F139*AN139</f>
        <v>0</v>
      </c>
      <c r="AW139" s="27">
        <f>F139*AO139</f>
        <v>0</v>
      </c>
      <c r="AX139" s="29" t="s">
        <v>786</v>
      </c>
      <c r="AY139" s="29" t="s">
        <v>793</v>
      </c>
      <c r="AZ139" s="17" t="s">
        <v>796</v>
      </c>
      <c r="BB139" s="27">
        <f>AV139+AW139</f>
        <v>0</v>
      </c>
      <c r="BC139" s="27">
        <f>G139/(100-BD139)*100</f>
        <v>0</v>
      </c>
      <c r="BD139" s="27">
        <v>0</v>
      </c>
      <c r="BE139" s="27">
        <f>L139</f>
        <v>0.001</v>
      </c>
      <c r="BG139" s="26">
        <f>F139*AN139</f>
        <v>0</v>
      </c>
      <c r="BH139" s="26">
        <f>F139*AO139</f>
        <v>0</v>
      </c>
      <c r="BI139" s="26">
        <f>F139*G139</f>
        <v>0</v>
      </c>
    </row>
    <row r="140" spans="1:61" ht="12.75">
      <c r="A140" s="24" t="s">
        <v>129</v>
      </c>
      <c r="B140" s="25"/>
      <c r="C140" s="25" t="s">
        <v>377</v>
      </c>
      <c r="D140" s="25" t="s">
        <v>624</v>
      </c>
      <c r="E140" s="25" t="s">
        <v>753</v>
      </c>
      <c r="F140" s="26">
        <v>1</v>
      </c>
      <c r="G140" s="1">
        <v>0</v>
      </c>
      <c r="H140" s="26">
        <f>F140*AN140</f>
        <v>0</v>
      </c>
      <c r="I140" s="26">
        <f>F140*AO140</f>
        <v>0</v>
      </c>
      <c r="J140" s="26">
        <f>F140*G140</f>
        <v>0</v>
      </c>
      <c r="K140" s="26">
        <v>0</v>
      </c>
      <c r="L140" s="26">
        <f>F140*K140</f>
        <v>0</v>
      </c>
      <c r="Y140" s="27">
        <f>IF(AP140="5",BI140,0)</f>
        <v>0</v>
      </c>
      <c r="AA140" s="27">
        <f>IF(AP140="1",BG140,0)</f>
        <v>0</v>
      </c>
      <c r="AB140" s="27">
        <f>IF(AP140="1",BH140,0)</f>
        <v>0</v>
      </c>
      <c r="AC140" s="27">
        <f>IF(AP140="7",BG140,0)</f>
        <v>0</v>
      </c>
      <c r="AD140" s="27">
        <f>IF(AP140="7",BH140,0)</f>
        <v>0</v>
      </c>
      <c r="AE140" s="27">
        <f>IF(AP140="2",BG140,0)</f>
        <v>0</v>
      </c>
      <c r="AF140" s="27">
        <f>IF(AP140="2",BH140,0)</f>
        <v>0</v>
      </c>
      <c r="AG140" s="27">
        <f>IF(AP140="0",BI140,0)</f>
        <v>0</v>
      </c>
      <c r="AH140" s="17"/>
      <c r="AI140" s="26">
        <f>IF(AM140=0,J140,0)</f>
        <v>0</v>
      </c>
      <c r="AJ140" s="26">
        <f>IF(AM140=15,J140,0)</f>
        <v>0</v>
      </c>
      <c r="AK140" s="26">
        <f>IF(AM140=21,J140,0)</f>
        <v>0</v>
      </c>
      <c r="AM140" s="27">
        <v>21</v>
      </c>
      <c r="AN140" s="27">
        <f>G140*0.799993548387097</f>
        <v>0</v>
      </c>
      <c r="AO140" s="27">
        <f>G140*(1-0.799993548387097)</f>
        <v>0</v>
      </c>
      <c r="AP140" s="28" t="s">
        <v>13</v>
      </c>
      <c r="AU140" s="27">
        <f>AV140+AW140</f>
        <v>0</v>
      </c>
      <c r="AV140" s="27">
        <f>F140*AN140</f>
        <v>0</v>
      </c>
      <c r="AW140" s="27">
        <f>F140*AO140</f>
        <v>0</v>
      </c>
      <c r="AX140" s="29" t="s">
        <v>786</v>
      </c>
      <c r="AY140" s="29" t="s">
        <v>793</v>
      </c>
      <c r="AZ140" s="17" t="s">
        <v>796</v>
      </c>
      <c r="BB140" s="27">
        <f>AV140+AW140</f>
        <v>0</v>
      </c>
      <c r="BC140" s="27">
        <f>G140/(100-BD140)*100</f>
        <v>0</v>
      </c>
      <c r="BD140" s="27">
        <v>0</v>
      </c>
      <c r="BE140" s="27">
        <f>L140</f>
        <v>0</v>
      </c>
      <c r="BG140" s="26">
        <f>F140*AN140</f>
        <v>0</v>
      </c>
      <c r="BH140" s="26">
        <f>F140*AO140</f>
        <v>0</v>
      </c>
      <c r="BI140" s="26">
        <f>F140*G140</f>
        <v>0</v>
      </c>
    </row>
    <row r="141" ht="12">
      <c r="D141" s="39" t="s">
        <v>625</v>
      </c>
    </row>
    <row r="142" spans="1:61" ht="12.75">
      <c r="A142" s="24" t="s">
        <v>130</v>
      </c>
      <c r="B142" s="25"/>
      <c r="C142" s="25" t="s">
        <v>378</v>
      </c>
      <c r="D142" s="25" t="s">
        <v>624</v>
      </c>
      <c r="E142" s="25" t="s">
        <v>753</v>
      </c>
      <c r="F142" s="26">
        <v>1</v>
      </c>
      <c r="G142" s="1">
        <v>0</v>
      </c>
      <c r="H142" s="26">
        <f>F142*AN142</f>
        <v>0</v>
      </c>
      <c r="I142" s="26">
        <f>F142*AO142</f>
        <v>0</v>
      </c>
      <c r="J142" s="26">
        <f>F142*G142</f>
        <v>0</v>
      </c>
      <c r="K142" s="26">
        <v>0</v>
      </c>
      <c r="L142" s="26">
        <f>F142*K142</f>
        <v>0</v>
      </c>
      <c r="Y142" s="27">
        <f>IF(AP142="5",BI142,0)</f>
        <v>0</v>
      </c>
      <c r="AA142" s="27">
        <f>IF(AP142="1",BG142,0)</f>
        <v>0</v>
      </c>
      <c r="AB142" s="27">
        <f>IF(AP142="1",BH142,0)</f>
        <v>0</v>
      </c>
      <c r="AC142" s="27">
        <f>IF(AP142="7",BG142,0)</f>
        <v>0</v>
      </c>
      <c r="AD142" s="27">
        <f>IF(AP142="7",BH142,0)</f>
        <v>0</v>
      </c>
      <c r="AE142" s="27">
        <f>IF(AP142="2",BG142,0)</f>
        <v>0</v>
      </c>
      <c r="AF142" s="27">
        <f>IF(AP142="2",BH142,0)</f>
        <v>0</v>
      </c>
      <c r="AG142" s="27">
        <f>IF(AP142="0",BI142,0)</f>
        <v>0</v>
      </c>
      <c r="AH142" s="17"/>
      <c r="AI142" s="26">
        <f>IF(AM142=0,J142,0)</f>
        <v>0</v>
      </c>
      <c r="AJ142" s="26">
        <f>IF(AM142=15,J142,0)</f>
        <v>0</v>
      </c>
      <c r="AK142" s="26">
        <f>IF(AM142=21,J142,0)</f>
        <v>0</v>
      </c>
      <c r="AM142" s="27">
        <v>21</v>
      </c>
      <c r="AN142" s="27">
        <f>G142*0.799995884773663</f>
        <v>0</v>
      </c>
      <c r="AO142" s="27">
        <f>G142*(1-0.799995884773663)</f>
        <v>0</v>
      </c>
      <c r="AP142" s="28" t="s">
        <v>13</v>
      </c>
      <c r="AU142" s="27">
        <f>AV142+AW142</f>
        <v>0</v>
      </c>
      <c r="AV142" s="27">
        <f>F142*AN142</f>
        <v>0</v>
      </c>
      <c r="AW142" s="27">
        <f>F142*AO142</f>
        <v>0</v>
      </c>
      <c r="AX142" s="29" t="s">
        <v>786</v>
      </c>
      <c r="AY142" s="29" t="s">
        <v>793</v>
      </c>
      <c r="AZ142" s="17" t="s">
        <v>796</v>
      </c>
      <c r="BB142" s="27">
        <f>AV142+AW142</f>
        <v>0</v>
      </c>
      <c r="BC142" s="27">
        <f>G142/(100-BD142)*100</f>
        <v>0</v>
      </c>
      <c r="BD142" s="27">
        <v>0</v>
      </c>
      <c r="BE142" s="27">
        <f>L142</f>
        <v>0</v>
      </c>
      <c r="BG142" s="26">
        <f>F142*AN142</f>
        <v>0</v>
      </c>
      <c r="BH142" s="26">
        <f>F142*AO142</f>
        <v>0</v>
      </c>
      <c r="BI142" s="26">
        <f>F142*G142</f>
        <v>0</v>
      </c>
    </row>
    <row r="143" ht="12">
      <c r="D143" s="39" t="s">
        <v>626</v>
      </c>
    </row>
    <row r="144" spans="1:61" ht="12.75">
      <c r="A144" s="24" t="s">
        <v>131</v>
      </c>
      <c r="B144" s="25"/>
      <c r="C144" s="25" t="s">
        <v>379</v>
      </c>
      <c r="D144" s="25" t="s">
        <v>624</v>
      </c>
      <c r="E144" s="25" t="s">
        <v>753</v>
      </c>
      <c r="F144" s="26">
        <v>1</v>
      </c>
      <c r="G144" s="1">
        <v>0</v>
      </c>
      <c r="H144" s="26">
        <f>F144*AN144</f>
        <v>0</v>
      </c>
      <c r="I144" s="26">
        <f>F144*AO144</f>
        <v>0</v>
      </c>
      <c r="J144" s="26">
        <f>F144*G144</f>
        <v>0</v>
      </c>
      <c r="K144" s="26">
        <v>0</v>
      </c>
      <c r="L144" s="26">
        <f>F144*K144</f>
        <v>0</v>
      </c>
      <c r="Y144" s="27">
        <f>IF(AP144="5",BI144,0)</f>
        <v>0</v>
      </c>
      <c r="AA144" s="27">
        <f>IF(AP144="1",BG144,0)</f>
        <v>0</v>
      </c>
      <c r="AB144" s="27">
        <f>IF(AP144="1",BH144,0)</f>
        <v>0</v>
      </c>
      <c r="AC144" s="27">
        <f>IF(AP144="7",BG144,0)</f>
        <v>0</v>
      </c>
      <c r="AD144" s="27">
        <f>IF(AP144="7",BH144,0)</f>
        <v>0</v>
      </c>
      <c r="AE144" s="27">
        <f>IF(AP144="2",BG144,0)</f>
        <v>0</v>
      </c>
      <c r="AF144" s="27">
        <f>IF(AP144="2",BH144,0)</f>
        <v>0</v>
      </c>
      <c r="AG144" s="27">
        <f>IF(AP144="0",BI144,0)</f>
        <v>0</v>
      </c>
      <c r="AH144" s="17"/>
      <c r="AI144" s="26">
        <f>IF(AM144=0,J144,0)</f>
        <v>0</v>
      </c>
      <c r="AJ144" s="26">
        <f>IF(AM144=15,J144,0)</f>
        <v>0</v>
      </c>
      <c r="AK144" s="26">
        <f>IF(AM144=21,J144,0)</f>
        <v>0</v>
      </c>
      <c r="AM144" s="27">
        <v>21</v>
      </c>
      <c r="AN144" s="27">
        <f>G144*0.1</f>
        <v>0</v>
      </c>
      <c r="AO144" s="27">
        <f>G144*(1-0.1)</f>
        <v>0</v>
      </c>
      <c r="AP144" s="28" t="s">
        <v>13</v>
      </c>
      <c r="AU144" s="27">
        <f>AV144+AW144</f>
        <v>0</v>
      </c>
      <c r="AV144" s="27">
        <f>F144*AN144</f>
        <v>0</v>
      </c>
      <c r="AW144" s="27">
        <f>F144*AO144</f>
        <v>0</v>
      </c>
      <c r="AX144" s="29" t="s">
        <v>786</v>
      </c>
      <c r="AY144" s="29" t="s">
        <v>793</v>
      </c>
      <c r="AZ144" s="17" t="s">
        <v>796</v>
      </c>
      <c r="BB144" s="27">
        <f>AV144+AW144</f>
        <v>0</v>
      </c>
      <c r="BC144" s="27">
        <f>G144/(100-BD144)*100</f>
        <v>0</v>
      </c>
      <c r="BD144" s="27">
        <v>0</v>
      </c>
      <c r="BE144" s="27">
        <f>L144</f>
        <v>0</v>
      </c>
      <c r="BG144" s="26">
        <f>F144*AN144</f>
        <v>0</v>
      </c>
      <c r="BH144" s="26">
        <f>F144*AO144</f>
        <v>0</v>
      </c>
      <c r="BI144" s="26">
        <f>F144*G144</f>
        <v>0</v>
      </c>
    </row>
    <row r="145" ht="12">
      <c r="D145" s="39" t="s">
        <v>627</v>
      </c>
    </row>
    <row r="146" spans="1:61" ht="12.75">
      <c r="A146" s="24" t="s">
        <v>132</v>
      </c>
      <c r="B146" s="25"/>
      <c r="C146" s="25" t="s">
        <v>380</v>
      </c>
      <c r="D146" s="25" t="s">
        <v>628</v>
      </c>
      <c r="E146" s="25" t="s">
        <v>753</v>
      </c>
      <c r="F146" s="26">
        <v>1</v>
      </c>
      <c r="G146" s="1">
        <v>0</v>
      </c>
      <c r="H146" s="26">
        <f>F146*AN146</f>
        <v>0</v>
      </c>
      <c r="I146" s="26">
        <f>F146*AO146</f>
        <v>0</v>
      </c>
      <c r="J146" s="26">
        <f>F146*G146</f>
        <v>0</v>
      </c>
      <c r="K146" s="26">
        <v>0</v>
      </c>
      <c r="L146" s="26">
        <f>F146*K146</f>
        <v>0</v>
      </c>
      <c r="Y146" s="27">
        <f>IF(AP146="5",BI146,0)</f>
        <v>0</v>
      </c>
      <c r="AA146" s="27">
        <f>IF(AP146="1",BG146,0)</f>
        <v>0</v>
      </c>
      <c r="AB146" s="27">
        <f>IF(AP146="1",BH146,0)</f>
        <v>0</v>
      </c>
      <c r="AC146" s="27">
        <f>IF(AP146="7",BG146,0)</f>
        <v>0</v>
      </c>
      <c r="AD146" s="27">
        <f>IF(AP146="7",BH146,0)</f>
        <v>0</v>
      </c>
      <c r="AE146" s="27">
        <f>IF(AP146="2",BG146,0)</f>
        <v>0</v>
      </c>
      <c r="AF146" s="27">
        <f>IF(AP146="2",BH146,0)</f>
        <v>0</v>
      </c>
      <c r="AG146" s="27">
        <f>IF(AP146="0",BI146,0)</f>
        <v>0</v>
      </c>
      <c r="AH146" s="17"/>
      <c r="AI146" s="26">
        <f>IF(AM146=0,J146,0)</f>
        <v>0</v>
      </c>
      <c r="AJ146" s="26">
        <f>IF(AM146=15,J146,0)</f>
        <v>0</v>
      </c>
      <c r="AK146" s="26">
        <f>IF(AM146=21,J146,0)</f>
        <v>0</v>
      </c>
      <c r="AM146" s="27">
        <v>21</v>
      </c>
      <c r="AN146" s="27">
        <f>G146*0.799993548387097</f>
        <v>0</v>
      </c>
      <c r="AO146" s="27">
        <f>G146*(1-0.799993548387097)</f>
        <v>0</v>
      </c>
      <c r="AP146" s="28" t="s">
        <v>13</v>
      </c>
      <c r="AU146" s="27">
        <f>AV146+AW146</f>
        <v>0</v>
      </c>
      <c r="AV146" s="27">
        <f>F146*AN146</f>
        <v>0</v>
      </c>
      <c r="AW146" s="27">
        <f>F146*AO146</f>
        <v>0</v>
      </c>
      <c r="AX146" s="29" t="s">
        <v>786</v>
      </c>
      <c r="AY146" s="29" t="s">
        <v>793</v>
      </c>
      <c r="AZ146" s="17" t="s">
        <v>796</v>
      </c>
      <c r="BB146" s="27">
        <f>AV146+AW146</f>
        <v>0</v>
      </c>
      <c r="BC146" s="27">
        <f>G146/(100-BD146)*100</f>
        <v>0</v>
      </c>
      <c r="BD146" s="27">
        <v>0</v>
      </c>
      <c r="BE146" s="27">
        <f>L146</f>
        <v>0</v>
      </c>
      <c r="BG146" s="26">
        <f>F146*AN146</f>
        <v>0</v>
      </c>
      <c r="BH146" s="26">
        <f>F146*AO146</f>
        <v>0</v>
      </c>
      <c r="BI146" s="26">
        <f>F146*G146</f>
        <v>0</v>
      </c>
    </row>
    <row r="147" ht="12">
      <c r="D147" s="39" t="s">
        <v>625</v>
      </c>
    </row>
    <row r="148" spans="1:61" ht="12.75">
      <c r="A148" s="24" t="s">
        <v>133</v>
      </c>
      <c r="B148" s="25"/>
      <c r="C148" s="25" t="s">
        <v>381</v>
      </c>
      <c r="D148" s="25" t="s">
        <v>628</v>
      </c>
      <c r="E148" s="25" t="s">
        <v>753</v>
      </c>
      <c r="F148" s="26">
        <v>1</v>
      </c>
      <c r="G148" s="1">
        <v>0</v>
      </c>
      <c r="H148" s="26">
        <f>F148*AN148</f>
        <v>0</v>
      </c>
      <c r="I148" s="26">
        <f>F148*AO148</f>
        <v>0</v>
      </c>
      <c r="J148" s="26">
        <f>F148*G148</f>
        <v>0</v>
      </c>
      <c r="K148" s="26">
        <v>0</v>
      </c>
      <c r="L148" s="26">
        <f>F148*K148</f>
        <v>0</v>
      </c>
      <c r="Y148" s="27">
        <f>IF(AP148="5",BI148,0)</f>
        <v>0</v>
      </c>
      <c r="AA148" s="27">
        <f>IF(AP148="1",BG148,0)</f>
        <v>0</v>
      </c>
      <c r="AB148" s="27">
        <f>IF(AP148="1",BH148,0)</f>
        <v>0</v>
      </c>
      <c r="AC148" s="27">
        <f>IF(AP148="7",BG148,0)</f>
        <v>0</v>
      </c>
      <c r="AD148" s="27">
        <f>IF(AP148="7",BH148,0)</f>
        <v>0</v>
      </c>
      <c r="AE148" s="27">
        <f>IF(AP148="2",BG148,0)</f>
        <v>0</v>
      </c>
      <c r="AF148" s="27">
        <f>IF(AP148="2",BH148,0)</f>
        <v>0</v>
      </c>
      <c r="AG148" s="27">
        <f>IF(AP148="0",BI148,0)</f>
        <v>0</v>
      </c>
      <c r="AH148" s="17"/>
      <c r="AI148" s="26">
        <f>IF(AM148=0,J148,0)</f>
        <v>0</v>
      </c>
      <c r="AJ148" s="26">
        <f>IF(AM148=15,J148,0)</f>
        <v>0</v>
      </c>
      <c r="AK148" s="26">
        <f>IF(AM148=21,J148,0)</f>
        <v>0</v>
      </c>
      <c r="AM148" s="27">
        <v>21</v>
      </c>
      <c r="AN148" s="27">
        <f>G148*0.799993548387097</f>
        <v>0</v>
      </c>
      <c r="AO148" s="27">
        <f>G148*(1-0.799993548387097)</f>
        <v>0</v>
      </c>
      <c r="AP148" s="28" t="s">
        <v>13</v>
      </c>
      <c r="AU148" s="27">
        <f>AV148+AW148</f>
        <v>0</v>
      </c>
      <c r="AV148" s="27">
        <f>F148*AN148</f>
        <v>0</v>
      </c>
      <c r="AW148" s="27">
        <f>F148*AO148</f>
        <v>0</v>
      </c>
      <c r="AX148" s="29" t="s">
        <v>786</v>
      </c>
      <c r="AY148" s="29" t="s">
        <v>793</v>
      </c>
      <c r="AZ148" s="17" t="s">
        <v>796</v>
      </c>
      <c r="BB148" s="27">
        <f>AV148+AW148</f>
        <v>0</v>
      </c>
      <c r="BC148" s="27">
        <f>G148/(100-BD148)*100</f>
        <v>0</v>
      </c>
      <c r="BD148" s="27">
        <v>0</v>
      </c>
      <c r="BE148" s="27">
        <f>L148</f>
        <v>0</v>
      </c>
      <c r="BG148" s="26">
        <f>F148*AN148</f>
        <v>0</v>
      </c>
      <c r="BH148" s="26">
        <f>F148*AO148</f>
        <v>0</v>
      </c>
      <c r="BI148" s="26">
        <f>F148*G148</f>
        <v>0</v>
      </c>
    </row>
    <row r="149" ht="12">
      <c r="D149" s="39" t="s">
        <v>629</v>
      </c>
    </row>
    <row r="150" spans="1:61" ht="12.75">
      <c r="A150" s="24" t="s">
        <v>134</v>
      </c>
      <c r="B150" s="25"/>
      <c r="C150" s="25" t="s">
        <v>382</v>
      </c>
      <c r="D150" s="25" t="s">
        <v>628</v>
      </c>
      <c r="E150" s="25" t="s">
        <v>753</v>
      </c>
      <c r="F150" s="26">
        <v>1</v>
      </c>
      <c r="G150" s="1">
        <v>0</v>
      </c>
      <c r="H150" s="26">
        <f>F150*AN150</f>
        <v>0</v>
      </c>
      <c r="I150" s="26">
        <f>F150*AO150</f>
        <v>0</v>
      </c>
      <c r="J150" s="26">
        <f>F150*G150</f>
        <v>0</v>
      </c>
      <c r="K150" s="26">
        <v>0</v>
      </c>
      <c r="L150" s="26">
        <f>F150*K150</f>
        <v>0</v>
      </c>
      <c r="Y150" s="27">
        <f>IF(AP150="5",BI150,0)</f>
        <v>0</v>
      </c>
      <c r="AA150" s="27">
        <f>IF(AP150="1",BG150,0)</f>
        <v>0</v>
      </c>
      <c r="AB150" s="27">
        <f>IF(AP150="1",BH150,0)</f>
        <v>0</v>
      </c>
      <c r="AC150" s="27">
        <f>IF(AP150="7",BG150,0)</f>
        <v>0</v>
      </c>
      <c r="AD150" s="27">
        <f>IF(AP150="7",BH150,0)</f>
        <v>0</v>
      </c>
      <c r="AE150" s="27">
        <f>IF(AP150="2",BG150,0)</f>
        <v>0</v>
      </c>
      <c r="AF150" s="27">
        <f>IF(AP150="2",BH150,0)</f>
        <v>0</v>
      </c>
      <c r="AG150" s="27">
        <f>IF(AP150="0",BI150,0)</f>
        <v>0</v>
      </c>
      <c r="AH150" s="17"/>
      <c r="AI150" s="26">
        <f>IF(AM150=0,J150,0)</f>
        <v>0</v>
      </c>
      <c r="AJ150" s="26">
        <f>IF(AM150=15,J150,0)</f>
        <v>0</v>
      </c>
      <c r="AK150" s="26">
        <f>IF(AM150=21,J150,0)</f>
        <v>0</v>
      </c>
      <c r="AM150" s="27">
        <v>21</v>
      </c>
      <c r="AN150" s="27">
        <f>G150*0.799993548387097</f>
        <v>0</v>
      </c>
      <c r="AO150" s="27">
        <f>G150*(1-0.799993548387097)</f>
        <v>0</v>
      </c>
      <c r="AP150" s="28" t="s">
        <v>13</v>
      </c>
      <c r="AU150" s="27">
        <f>AV150+AW150</f>
        <v>0</v>
      </c>
      <c r="AV150" s="27">
        <f>F150*AN150</f>
        <v>0</v>
      </c>
      <c r="AW150" s="27">
        <f>F150*AO150</f>
        <v>0</v>
      </c>
      <c r="AX150" s="29" t="s">
        <v>786</v>
      </c>
      <c r="AY150" s="29" t="s">
        <v>793</v>
      </c>
      <c r="AZ150" s="17" t="s">
        <v>796</v>
      </c>
      <c r="BB150" s="27">
        <f>AV150+AW150</f>
        <v>0</v>
      </c>
      <c r="BC150" s="27">
        <f>G150/(100-BD150)*100</f>
        <v>0</v>
      </c>
      <c r="BD150" s="27">
        <v>0</v>
      </c>
      <c r="BE150" s="27">
        <f>L150</f>
        <v>0</v>
      </c>
      <c r="BG150" s="26">
        <f>F150*AN150</f>
        <v>0</v>
      </c>
      <c r="BH150" s="26">
        <f>F150*AO150</f>
        <v>0</v>
      </c>
      <c r="BI150" s="26">
        <f>F150*G150</f>
        <v>0</v>
      </c>
    </row>
    <row r="151" ht="12">
      <c r="D151" s="39" t="s">
        <v>630</v>
      </c>
    </row>
    <row r="152" spans="1:61" ht="12.75">
      <c r="A152" s="24" t="s">
        <v>135</v>
      </c>
      <c r="B152" s="25"/>
      <c r="C152" s="25" t="s">
        <v>383</v>
      </c>
      <c r="D152" s="25" t="s">
        <v>631</v>
      </c>
      <c r="E152" s="25" t="s">
        <v>753</v>
      </c>
      <c r="F152" s="26">
        <v>1</v>
      </c>
      <c r="G152" s="1">
        <v>0</v>
      </c>
      <c r="H152" s="26">
        <f>F152*AN152</f>
        <v>0</v>
      </c>
      <c r="I152" s="26">
        <f>F152*AO152</f>
        <v>0</v>
      </c>
      <c r="J152" s="26">
        <f>F152*G152</f>
        <v>0</v>
      </c>
      <c r="K152" s="26">
        <v>0</v>
      </c>
      <c r="L152" s="26">
        <f>F152*K152</f>
        <v>0</v>
      </c>
      <c r="Y152" s="27">
        <f>IF(AP152="5",BI152,0)</f>
        <v>0</v>
      </c>
      <c r="AA152" s="27">
        <f>IF(AP152="1",BG152,0)</f>
        <v>0</v>
      </c>
      <c r="AB152" s="27">
        <f>IF(AP152="1",BH152,0)</f>
        <v>0</v>
      </c>
      <c r="AC152" s="27">
        <f>IF(AP152="7",BG152,0)</f>
        <v>0</v>
      </c>
      <c r="AD152" s="27">
        <f>IF(AP152="7",BH152,0)</f>
        <v>0</v>
      </c>
      <c r="AE152" s="27">
        <f>IF(AP152="2",BG152,0)</f>
        <v>0</v>
      </c>
      <c r="AF152" s="27">
        <f>IF(AP152="2",BH152,0)</f>
        <v>0</v>
      </c>
      <c r="AG152" s="27">
        <f>IF(AP152="0",BI152,0)</f>
        <v>0</v>
      </c>
      <c r="AH152" s="17"/>
      <c r="AI152" s="26">
        <f>IF(AM152=0,J152,0)</f>
        <v>0</v>
      </c>
      <c r="AJ152" s="26">
        <f>IF(AM152=15,J152,0)</f>
        <v>0</v>
      </c>
      <c r="AK152" s="26">
        <f>IF(AM152=21,J152,0)</f>
        <v>0</v>
      </c>
      <c r="AM152" s="27">
        <v>21</v>
      </c>
      <c r="AN152" s="27">
        <f>G152*0.799993548387097</f>
        <v>0</v>
      </c>
      <c r="AO152" s="27">
        <f>G152*(1-0.799993548387097)</f>
        <v>0</v>
      </c>
      <c r="AP152" s="28" t="s">
        <v>13</v>
      </c>
      <c r="AU152" s="27">
        <f>AV152+AW152</f>
        <v>0</v>
      </c>
      <c r="AV152" s="27">
        <f>F152*AN152</f>
        <v>0</v>
      </c>
      <c r="AW152" s="27">
        <f>F152*AO152</f>
        <v>0</v>
      </c>
      <c r="AX152" s="29" t="s">
        <v>786</v>
      </c>
      <c r="AY152" s="29" t="s">
        <v>793</v>
      </c>
      <c r="AZ152" s="17" t="s">
        <v>796</v>
      </c>
      <c r="BB152" s="27">
        <f>AV152+AW152</f>
        <v>0</v>
      </c>
      <c r="BC152" s="27">
        <f>G152/(100-BD152)*100</f>
        <v>0</v>
      </c>
      <c r="BD152" s="27">
        <v>0</v>
      </c>
      <c r="BE152" s="27">
        <f>L152</f>
        <v>0</v>
      </c>
      <c r="BG152" s="26">
        <f>F152*AN152</f>
        <v>0</v>
      </c>
      <c r="BH152" s="26">
        <f>F152*AO152</f>
        <v>0</v>
      </c>
      <c r="BI152" s="26">
        <f>F152*G152</f>
        <v>0</v>
      </c>
    </row>
    <row r="153" ht="12">
      <c r="D153" s="39" t="s">
        <v>625</v>
      </c>
    </row>
    <row r="154" spans="1:61" ht="12.75">
      <c r="A154" s="24" t="s">
        <v>136</v>
      </c>
      <c r="B154" s="25"/>
      <c r="C154" s="25" t="s">
        <v>384</v>
      </c>
      <c r="D154" s="25" t="s">
        <v>631</v>
      </c>
      <c r="E154" s="25" t="s">
        <v>753</v>
      </c>
      <c r="F154" s="26">
        <v>1</v>
      </c>
      <c r="G154" s="1">
        <v>0</v>
      </c>
      <c r="H154" s="26">
        <f>F154*AN154</f>
        <v>0</v>
      </c>
      <c r="I154" s="26">
        <f>F154*AO154</f>
        <v>0</v>
      </c>
      <c r="J154" s="26">
        <f>F154*G154</f>
        <v>0</v>
      </c>
      <c r="K154" s="26">
        <v>0</v>
      </c>
      <c r="L154" s="26">
        <f>F154*K154</f>
        <v>0</v>
      </c>
      <c r="Y154" s="27">
        <f>IF(AP154="5",BI154,0)</f>
        <v>0</v>
      </c>
      <c r="AA154" s="27">
        <f>IF(AP154="1",BG154,0)</f>
        <v>0</v>
      </c>
      <c r="AB154" s="27">
        <f>IF(AP154="1",BH154,0)</f>
        <v>0</v>
      </c>
      <c r="AC154" s="27">
        <f>IF(AP154="7",BG154,0)</f>
        <v>0</v>
      </c>
      <c r="AD154" s="27">
        <f>IF(AP154="7",BH154,0)</f>
        <v>0</v>
      </c>
      <c r="AE154" s="27">
        <f>IF(AP154="2",BG154,0)</f>
        <v>0</v>
      </c>
      <c r="AF154" s="27">
        <f>IF(AP154="2",BH154,0)</f>
        <v>0</v>
      </c>
      <c r="AG154" s="27">
        <f>IF(AP154="0",BI154,0)</f>
        <v>0</v>
      </c>
      <c r="AH154" s="17"/>
      <c r="AI154" s="26">
        <f>IF(AM154=0,J154,0)</f>
        <v>0</v>
      </c>
      <c r="AJ154" s="26">
        <f>IF(AM154=15,J154,0)</f>
        <v>0</v>
      </c>
      <c r="AK154" s="26">
        <f>IF(AM154=21,J154,0)</f>
        <v>0</v>
      </c>
      <c r="AM154" s="27">
        <v>21</v>
      </c>
      <c r="AN154" s="27">
        <f>G154*0.799993548387097</f>
        <v>0</v>
      </c>
      <c r="AO154" s="27">
        <f>G154*(1-0.799993548387097)</f>
        <v>0</v>
      </c>
      <c r="AP154" s="28" t="s">
        <v>13</v>
      </c>
      <c r="AU154" s="27">
        <f>AV154+AW154</f>
        <v>0</v>
      </c>
      <c r="AV154" s="27">
        <f>F154*AN154</f>
        <v>0</v>
      </c>
      <c r="AW154" s="27">
        <f>F154*AO154</f>
        <v>0</v>
      </c>
      <c r="AX154" s="29" t="s">
        <v>786</v>
      </c>
      <c r="AY154" s="29" t="s">
        <v>793</v>
      </c>
      <c r="AZ154" s="17" t="s">
        <v>796</v>
      </c>
      <c r="BB154" s="27">
        <f>AV154+AW154</f>
        <v>0</v>
      </c>
      <c r="BC154" s="27">
        <f>G154/(100-BD154)*100</f>
        <v>0</v>
      </c>
      <c r="BD154" s="27">
        <v>0</v>
      </c>
      <c r="BE154" s="27">
        <f>L154</f>
        <v>0</v>
      </c>
      <c r="BG154" s="26">
        <f>F154*AN154</f>
        <v>0</v>
      </c>
      <c r="BH154" s="26">
        <f>F154*AO154</f>
        <v>0</v>
      </c>
      <c r="BI154" s="26">
        <f>F154*G154</f>
        <v>0</v>
      </c>
    </row>
    <row r="155" ht="12">
      <c r="D155" s="39" t="s">
        <v>629</v>
      </c>
    </row>
    <row r="156" spans="1:61" ht="12.75">
      <c r="A156" s="24" t="s">
        <v>137</v>
      </c>
      <c r="B156" s="25"/>
      <c r="C156" s="25" t="s">
        <v>385</v>
      </c>
      <c r="D156" s="25" t="s">
        <v>631</v>
      </c>
      <c r="E156" s="25" t="s">
        <v>753</v>
      </c>
      <c r="F156" s="26">
        <v>1</v>
      </c>
      <c r="G156" s="1">
        <v>0</v>
      </c>
      <c r="H156" s="26">
        <f>F156*AN156</f>
        <v>0</v>
      </c>
      <c r="I156" s="26">
        <f>F156*AO156</f>
        <v>0</v>
      </c>
      <c r="J156" s="26">
        <f>F156*G156</f>
        <v>0</v>
      </c>
      <c r="K156" s="26">
        <v>0</v>
      </c>
      <c r="L156" s="26">
        <f>F156*K156</f>
        <v>0</v>
      </c>
      <c r="Y156" s="27">
        <f>IF(AP156="5",BI156,0)</f>
        <v>0</v>
      </c>
      <c r="AA156" s="27">
        <f>IF(AP156="1",BG156,0)</f>
        <v>0</v>
      </c>
      <c r="AB156" s="27">
        <f>IF(AP156="1",BH156,0)</f>
        <v>0</v>
      </c>
      <c r="AC156" s="27">
        <f>IF(AP156="7",BG156,0)</f>
        <v>0</v>
      </c>
      <c r="AD156" s="27">
        <f>IF(AP156="7",BH156,0)</f>
        <v>0</v>
      </c>
      <c r="AE156" s="27">
        <f>IF(AP156="2",BG156,0)</f>
        <v>0</v>
      </c>
      <c r="AF156" s="27">
        <f>IF(AP156="2",BH156,0)</f>
        <v>0</v>
      </c>
      <c r="AG156" s="27">
        <f>IF(AP156="0",BI156,0)</f>
        <v>0</v>
      </c>
      <c r="AH156" s="17"/>
      <c r="AI156" s="26">
        <f>IF(AM156=0,J156,0)</f>
        <v>0</v>
      </c>
      <c r="AJ156" s="26">
        <f>IF(AM156=15,J156,0)</f>
        <v>0</v>
      </c>
      <c r="AK156" s="26">
        <f>IF(AM156=21,J156,0)</f>
        <v>0</v>
      </c>
      <c r="AM156" s="27">
        <v>21</v>
      </c>
      <c r="AN156" s="27">
        <f>G156*0.799993548387097</f>
        <v>0</v>
      </c>
      <c r="AO156" s="27">
        <f>G156*(1-0.799993548387097)</f>
        <v>0</v>
      </c>
      <c r="AP156" s="28" t="s">
        <v>13</v>
      </c>
      <c r="AU156" s="27">
        <f>AV156+AW156</f>
        <v>0</v>
      </c>
      <c r="AV156" s="27">
        <f>F156*AN156</f>
        <v>0</v>
      </c>
      <c r="AW156" s="27">
        <f>F156*AO156</f>
        <v>0</v>
      </c>
      <c r="AX156" s="29" t="s">
        <v>786</v>
      </c>
      <c r="AY156" s="29" t="s">
        <v>793</v>
      </c>
      <c r="AZ156" s="17" t="s">
        <v>796</v>
      </c>
      <c r="BB156" s="27">
        <f>AV156+AW156</f>
        <v>0</v>
      </c>
      <c r="BC156" s="27">
        <f>G156/(100-BD156)*100</f>
        <v>0</v>
      </c>
      <c r="BD156" s="27">
        <v>0</v>
      </c>
      <c r="BE156" s="27">
        <f>L156</f>
        <v>0</v>
      </c>
      <c r="BG156" s="26">
        <f>F156*AN156</f>
        <v>0</v>
      </c>
      <c r="BH156" s="26">
        <f>F156*AO156</f>
        <v>0</v>
      </c>
      <c r="BI156" s="26">
        <f>F156*G156</f>
        <v>0</v>
      </c>
    </row>
    <row r="157" ht="12">
      <c r="D157" s="39" t="s">
        <v>630</v>
      </c>
    </row>
    <row r="158" spans="1:61" ht="12.75">
      <c r="A158" s="34" t="s">
        <v>138</v>
      </c>
      <c r="B158" s="35"/>
      <c r="C158" s="35" t="s">
        <v>386</v>
      </c>
      <c r="D158" s="35" t="s">
        <v>632</v>
      </c>
      <c r="E158" s="35" t="s">
        <v>753</v>
      </c>
      <c r="F158" s="36">
        <v>1</v>
      </c>
      <c r="G158" s="2">
        <v>0</v>
      </c>
      <c r="H158" s="36">
        <f>F158*AN158</f>
        <v>0</v>
      </c>
      <c r="I158" s="36">
        <f>F158*AO158</f>
        <v>0</v>
      </c>
      <c r="J158" s="36">
        <f>F158*G158</f>
        <v>0</v>
      </c>
      <c r="K158" s="36">
        <v>0.0052</v>
      </c>
      <c r="L158" s="36">
        <f>F158*K158</f>
        <v>0.0052</v>
      </c>
      <c r="Y158" s="27">
        <f>IF(AP158="5",BI158,0)</f>
        <v>0</v>
      </c>
      <c r="AA158" s="27">
        <f>IF(AP158="1",BG158,0)</f>
        <v>0</v>
      </c>
      <c r="AB158" s="27">
        <f>IF(AP158="1",BH158,0)</f>
        <v>0</v>
      </c>
      <c r="AC158" s="27">
        <f>IF(AP158="7",BG158,0)</f>
        <v>0</v>
      </c>
      <c r="AD158" s="27">
        <f>IF(AP158="7",BH158,0)</f>
        <v>0</v>
      </c>
      <c r="AE158" s="27">
        <f>IF(AP158="2",BG158,0)</f>
        <v>0</v>
      </c>
      <c r="AF158" s="27">
        <f>IF(AP158="2",BH158,0)</f>
        <v>0</v>
      </c>
      <c r="AG158" s="27">
        <f>IF(AP158="0",BI158,0)</f>
        <v>0</v>
      </c>
      <c r="AH158" s="17"/>
      <c r="AI158" s="36">
        <f>IF(AM158=0,J158,0)</f>
        <v>0</v>
      </c>
      <c r="AJ158" s="36">
        <f>IF(AM158=15,J158,0)</f>
        <v>0</v>
      </c>
      <c r="AK158" s="36">
        <f>IF(AM158=21,J158,0)</f>
        <v>0</v>
      </c>
      <c r="AM158" s="27">
        <v>21</v>
      </c>
      <c r="AN158" s="27">
        <f>G158*1</f>
        <v>0</v>
      </c>
      <c r="AO158" s="27">
        <f>G158*(1-1)</f>
        <v>0</v>
      </c>
      <c r="AP158" s="37" t="s">
        <v>13</v>
      </c>
      <c r="AU158" s="27">
        <f>AV158+AW158</f>
        <v>0</v>
      </c>
      <c r="AV158" s="27">
        <f>F158*AN158</f>
        <v>0</v>
      </c>
      <c r="AW158" s="27">
        <f>F158*AO158</f>
        <v>0</v>
      </c>
      <c r="AX158" s="29" t="s">
        <v>786</v>
      </c>
      <c r="AY158" s="29" t="s">
        <v>793</v>
      </c>
      <c r="AZ158" s="17" t="s">
        <v>796</v>
      </c>
      <c r="BB158" s="27">
        <f>AV158+AW158</f>
        <v>0</v>
      </c>
      <c r="BC158" s="27">
        <f>G158/(100-BD158)*100</f>
        <v>0</v>
      </c>
      <c r="BD158" s="27">
        <v>0</v>
      </c>
      <c r="BE158" s="27">
        <f>L158</f>
        <v>0.0052</v>
      </c>
      <c r="BG158" s="36">
        <f>F158*AN158</f>
        <v>0</v>
      </c>
      <c r="BH158" s="36">
        <f>F158*AO158</f>
        <v>0</v>
      </c>
      <c r="BI158" s="36">
        <f>F158*G158</f>
        <v>0</v>
      </c>
    </row>
    <row r="159" spans="1:61" ht="12.75">
      <c r="A159" s="34" t="s">
        <v>139</v>
      </c>
      <c r="B159" s="35"/>
      <c r="C159" s="35" t="s">
        <v>387</v>
      </c>
      <c r="D159" s="35" t="s">
        <v>633</v>
      </c>
      <c r="E159" s="35" t="s">
        <v>753</v>
      </c>
      <c r="F159" s="36">
        <v>1</v>
      </c>
      <c r="G159" s="2">
        <v>0</v>
      </c>
      <c r="H159" s="36">
        <f>F159*AN159</f>
        <v>0</v>
      </c>
      <c r="I159" s="36">
        <f>F159*AO159</f>
        <v>0</v>
      </c>
      <c r="J159" s="36">
        <f>F159*G159</f>
        <v>0</v>
      </c>
      <c r="K159" s="36">
        <v>0.0052</v>
      </c>
      <c r="L159" s="36">
        <f>F159*K159</f>
        <v>0.0052</v>
      </c>
      <c r="Y159" s="27">
        <f>IF(AP159="5",BI159,0)</f>
        <v>0</v>
      </c>
      <c r="AA159" s="27">
        <f>IF(AP159="1",BG159,0)</f>
        <v>0</v>
      </c>
      <c r="AB159" s="27">
        <f>IF(AP159="1",BH159,0)</f>
        <v>0</v>
      </c>
      <c r="AC159" s="27">
        <f>IF(AP159="7",BG159,0)</f>
        <v>0</v>
      </c>
      <c r="AD159" s="27">
        <f>IF(AP159="7",BH159,0)</f>
        <v>0</v>
      </c>
      <c r="AE159" s="27">
        <f>IF(AP159="2",BG159,0)</f>
        <v>0</v>
      </c>
      <c r="AF159" s="27">
        <f>IF(AP159="2",BH159,0)</f>
        <v>0</v>
      </c>
      <c r="AG159" s="27">
        <f>IF(AP159="0",BI159,0)</f>
        <v>0</v>
      </c>
      <c r="AH159" s="17"/>
      <c r="AI159" s="36">
        <f>IF(AM159=0,J159,0)</f>
        <v>0</v>
      </c>
      <c r="AJ159" s="36">
        <f>IF(AM159=15,J159,0)</f>
        <v>0</v>
      </c>
      <c r="AK159" s="36">
        <f>IF(AM159=21,J159,0)</f>
        <v>0</v>
      </c>
      <c r="AM159" s="27">
        <v>21</v>
      </c>
      <c r="AN159" s="27">
        <f>G159*1</f>
        <v>0</v>
      </c>
      <c r="AO159" s="27">
        <f>G159*(1-1)</f>
        <v>0</v>
      </c>
      <c r="AP159" s="37" t="s">
        <v>13</v>
      </c>
      <c r="AU159" s="27">
        <f>AV159+AW159</f>
        <v>0</v>
      </c>
      <c r="AV159" s="27">
        <f>F159*AN159</f>
        <v>0</v>
      </c>
      <c r="AW159" s="27">
        <f>F159*AO159</f>
        <v>0</v>
      </c>
      <c r="AX159" s="29" t="s">
        <v>786</v>
      </c>
      <c r="AY159" s="29" t="s">
        <v>793</v>
      </c>
      <c r="AZ159" s="17" t="s">
        <v>796</v>
      </c>
      <c r="BB159" s="27">
        <f>AV159+AW159</f>
        <v>0</v>
      </c>
      <c r="BC159" s="27">
        <f>G159/(100-BD159)*100</f>
        <v>0</v>
      </c>
      <c r="BD159" s="27">
        <v>0</v>
      </c>
      <c r="BE159" s="27">
        <f>L159</f>
        <v>0.0052</v>
      </c>
      <c r="BG159" s="36">
        <f>F159*AN159</f>
        <v>0</v>
      </c>
      <c r="BH159" s="36">
        <f>F159*AO159</f>
        <v>0</v>
      </c>
      <c r="BI159" s="36">
        <f>F159*G159</f>
        <v>0</v>
      </c>
    </row>
    <row r="160" spans="1:61" ht="12.75">
      <c r="A160" s="24" t="s">
        <v>140</v>
      </c>
      <c r="B160" s="25"/>
      <c r="C160" s="25" t="s">
        <v>388</v>
      </c>
      <c r="D160" s="25" t="s">
        <v>634</v>
      </c>
      <c r="E160" s="25" t="s">
        <v>755</v>
      </c>
      <c r="F160" s="26">
        <v>1</v>
      </c>
      <c r="G160" s="1">
        <v>0</v>
      </c>
      <c r="H160" s="26">
        <f>F160*AN160</f>
        <v>0</v>
      </c>
      <c r="I160" s="26">
        <f>F160*AO160</f>
        <v>0</v>
      </c>
      <c r="J160" s="26">
        <f>F160*G160</f>
        <v>0</v>
      </c>
      <c r="K160" s="26">
        <v>0</v>
      </c>
      <c r="L160" s="26">
        <f>F160*K160</f>
        <v>0</v>
      </c>
      <c r="Y160" s="27">
        <f>IF(AP160="5",BI160,0)</f>
        <v>0</v>
      </c>
      <c r="AA160" s="27">
        <f>IF(AP160="1",BG160,0)</f>
        <v>0</v>
      </c>
      <c r="AB160" s="27">
        <f>IF(AP160="1",BH160,0)</f>
        <v>0</v>
      </c>
      <c r="AC160" s="27">
        <f>IF(AP160="7",BG160,0)</f>
        <v>0</v>
      </c>
      <c r="AD160" s="27">
        <f>IF(AP160="7",BH160,0)</f>
        <v>0</v>
      </c>
      <c r="AE160" s="27">
        <f>IF(AP160="2",BG160,0)</f>
        <v>0</v>
      </c>
      <c r="AF160" s="27">
        <f>IF(AP160="2",BH160,0)</f>
        <v>0</v>
      </c>
      <c r="AG160" s="27">
        <f>IF(AP160="0",BI160,0)</f>
        <v>0</v>
      </c>
      <c r="AH160" s="17"/>
      <c r="AI160" s="26">
        <f>IF(AM160=0,J160,0)</f>
        <v>0</v>
      </c>
      <c r="AJ160" s="26">
        <f>IF(AM160=15,J160,0)</f>
        <v>0</v>
      </c>
      <c r="AK160" s="26">
        <f>IF(AM160=21,J160,0)</f>
        <v>0</v>
      </c>
      <c r="AM160" s="27">
        <v>21</v>
      </c>
      <c r="AN160" s="27">
        <f>G160*0</f>
        <v>0</v>
      </c>
      <c r="AO160" s="27">
        <f>G160*(1-0)</f>
        <v>0</v>
      </c>
      <c r="AP160" s="28" t="s">
        <v>13</v>
      </c>
      <c r="AU160" s="27">
        <f>AV160+AW160</f>
        <v>0</v>
      </c>
      <c r="AV160" s="27">
        <f>F160*AN160</f>
        <v>0</v>
      </c>
      <c r="AW160" s="27">
        <f>F160*AO160</f>
        <v>0</v>
      </c>
      <c r="AX160" s="29" t="s">
        <v>786</v>
      </c>
      <c r="AY160" s="29" t="s">
        <v>793</v>
      </c>
      <c r="AZ160" s="17" t="s">
        <v>796</v>
      </c>
      <c r="BB160" s="27">
        <f>AV160+AW160</f>
        <v>0</v>
      </c>
      <c r="BC160" s="27">
        <f>G160/(100-BD160)*100</f>
        <v>0</v>
      </c>
      <c r="BD160" s="27">
        <v>0</v>
      </c>
      <c r="BE160" s="27">
        <f>L160</f>
        <v>0</v>
      </c>
      <c r="BG160" s="26">
        <f>F160*AN160</f>
        <v>0</v>
      </c>
      <c r="BH160" s="26">
        <f>F160*AO160</f>
        <v>0</v>
      </c>
      <c r="BI160" s="26">
        <f>F160*G160</f>
        <v>0</v>
      </c>
    </row>
    <row r="161" spans="1:61" ht="12.75">
      <c r="A161" s="24" t="s">
        <v>141</v>
      </c>
      <c r="B161" s="25"/>
      <c r="C161" s="25" t="s">
        <v>389</v>
      </c>
      <c r="D161" s="25" t="s">
        <v>635</v>
      </c>
      <c r="E161" s="25" t="s">
        <v>753</v>
      </c>
      <c r="F161" s="26">
        <v>1</v>
      </c>
      <c r="G161" s="1">
        <v>0</v>
      </c>
      <c r="H161" s="26">
        <f>F161*AN161</f>
        <v>0</v>
      </c>
      <c r="I161" s="26">
        <f>F161*AO161</f>
        <v>0</v>
      </c>
      <c r="J161" s="26">
        <f>F161*G161</f>
        <v>0</v>
      </c>
      <c r="K161" s="26">
        <v>0</v>
      </c>
      <c r="L161" s="26">
        <f>F161*K161</f>
        <v>0</v>
      </c>
      <c r="Y161" s="27">
        <f>IF(AP161="5",BI161,0)</f>
        <v>0</v>
      </c>
      <c r="AA161" s="27">
        <f>IF(AP161="1",BG161,0)</f>
        <v>0</v>
      </c>
      <c r="AB161" s="27">
        <f>IF(AP161="1",BH161,0)</f>
        <v>0</v>
      </c>
      <c r="AC161" s="27">
        <f>IF(AP161="7",BG161,0)</f>
        <v>0</v>
      </c>
      <c r="AD161" s="27">
        <f>IF(AP161="7",BH161,0)</f>
        <v>0</v>
      </c>
      <c r="AE161" s="27">
        <f>IF(AP161="2",BG161,0)</f>
        <v>0</v>
      </c>
      <c r="AF161" s="27">
        <f>IF(AP161="2",BH161,0)</f>
        <v>0</v>
      </c>
      <c r="AG161" s="27">
        <f>IF(AP161="0",BI161,0)</f>
        <v>0</v>
      </c>
      <c r="AH161" s="17"/>
      <c r="AI161" s="26">
        <f>IF(AM161=0,J161,0)</f>
        <v>0</v>
      </c>
      <c r="AJ161" s="26">
        <f>IF(AM161=15,J161,0)</f>
        <v>0</v>
      </c>
      <c r="AK161" s="26">
        <f>IF(AM161=21,J161,0)</f>
        <v>0</v>
      </c>
      <c r="AM161" s="27">
        <v>21</v>
      </c>
      <c r="AN161" s="27">
        <f>G161*0.5</f>
        <v>0</v>
      </c>
      <c r="AO161" s="27">
        <f>G161*(1-0.5)</f>
        <v>0</v>
      </c>
      <c r="AP161" s="28" t="s">
        <v>13</v>
      </c>
      <c r="AU161" s="27">
        <f>AV161+AW161</f>
        <v>0</v>
      </c>
      <c r="AV161" s="27">
        <f>F161*AN161</f>
        <v>0</v>
      </c>
      <c r="AW161" s="27">
        <f>F161*AO161</f>
        <v>0</v>
      </c>
      <c r="AX161" s="29" t="s">
        <v>786</v>
      </c>
      <c r="AY161" s="29" t="s">
        <v>793</v>
      </c>
      <c r="AZ161" s="17" t="s">
        <v>796</v>
      </c>
      <c r="BB161" s="27">
        <f>AV161+AW161</f>
        <v>0</v>
      </c>
      <c r="BC161" s="27">
        <f>G161/(100-BD161)*100</f>
        <v>0</v>
      </c>
      <c r="BD161" s="27">
        <v>0</v>
      </c>
      <c r="BE161" s="27">
        <f>L161</f>
        <v>0</v>
      </c>
      <c r="BG161" s="26">
        <f>F161*AN161</f>
        <v>0</v>
      </c>
      <c r="BH161" s="26">
        <f>F161*AO161</f>
        <v>0</v>
      </c>
      <c r="BI161" s="26">
        <f>F161*G161</f>
        <v>0</v>
      </c>
    </row>
    <row r="162" spans="1:61" ht="12.75">
      <c r="A162" s="24" t="s">
        <v>142</v>
      </c>
      <c r="B162" s="25"/>
      <c r="C162" s="25" t="s">
        <v>390</v>
      </c>
      <c r="D162" s="25" t="s">
        <v>636</v>
      </c>
      <c r="E162" s="25" t="s">
        <v>753</v>
      </c>
      <c r="F162" s="26">
        <v>1</v>
      </c>
      <c r="G162" s="1">
        <v>0</v>
      </c>
      <c r="H162" s="26">
        <f>F162*AN162</f>
        <v>0</v>
      </c>
      <c r="I162" s="26">
        <f>F162*AO162</f>
        <v>0</v>
      </c>
      <c r="J162" s="26">
        <f>F162*G162</f>
        <v>0</v>
      </c>
      <c r="K162" s="26">
        <v>0</v>
      </c>
      <c r="L162" s="26">
        <f>F162*K162</f>
        <v>0</v>
      </c>
      <c r="Y162" s="27">
        <f>IF(AP162="5",BI162,0)</f>
        <v>0</v>
      </c>
      <c r="AA162" s="27">
        <f>IF(AP162="1",BG162,0)</f>
        <v>0</v>
      </c>
      <c r="AB162" s="27">
        <f>IF(AP162="1",BH162,0)</f>
        <v>0</v>
      </c>
      <c r="AC162" s="27">
        <f>IF(AP162="7",BG162,0)</f>
        <v>0</v>
      </c>
      <c r="AD162" s="27">
        <f>IF(AP162="7",BH162,0)</f>
        <v>0</v>
      </c>
      <c r="AE162" s="27">
        <f>IF(AP162="2",BG162,0)</f>
        <v>0</v>
      </c>
      <c r="AF162" s="27">
        <f>IF(AP162="2",BH162,0)</f>
        <v>0</v>
      </c>
      <c r="AG162" s="27">
        <f>IF(AP162="0",BI162,0)</f>
        <v>0</v>
      </c>
      <c r="AH162" s="17"/>
      <c r="AI162" s="26">
        <f>IF(AM162=0,J162,0)</f>
        <v>0</v>
      </c>
      <c r="AJ162" s="26">
        <f>IF(AM162=15,J162,0)</f>
        <v>0</v>
      </c>
      <c r="AK162" s="26">
        <f>IF(AM162=21,J162,0)</f>
        <v>0</v>
      </c>
      <c r="AM162" s="27">
        <v>21</v>
      </c>
      <c r="AN162" s="27">
        <f>G162*0</f>
        <v>0</v>
      </c>
      <c r="AO162" s="27">
        <f>G162*(1-0)</f>
        <v>0</v>
      </c>
      <c r="AP162" s="28" t="s">
        <v>13</v>
      </c>
      <c r="AU162" s="27">
        <f>AV162+AW162</f>
        <v>0</v>
      </c>
      <c r="AV162" s="27">
        <f>F162*AN162</f>
        <v>0</v>
      </c>
      <c r="AW162" s="27">
        <f>F162*AO162</f>
        <v>0</v>
      </c>
      <c r="AX162" s="29" t="s">
        <v>786</v>
      </c>
      <c r="AY162" s="29" t="s">
        <v>793</v>
      </c>
      <c r="AZ162" s="17" t="s">
        <v>796</v>
      </c>
      <c r="BB162" s="27">
        <f>AV162+AW162</f>
        <v>0</v>
      </c>
      <c r="BC162" s="27">
        <f>G162/(100-BD162)*100</f>
        <v>0</v>
      </c>
      <c r="BD162" s="27">
        <v>0</v>
      </c>
      <c r="BE162" s="27">
        <f>L162</f>
        <v>0</v>
      </c>
      <c r="BG162" s="26">
        <f>F162*AN162</f>
        <v>0</v>
      </c>
      <c r="BH162" s="26">
        <f>F162*AO162</f>
        <v>0</v>
      </c>
      <c r="BI162" s="26">
        <f>F162*G162</f>
        <v>0</v>
      </c>
    </row>
    <row r="163" ht="12">
      <c r="D163" s="39" t="s">
        <v>637</v>
      </c>
    </row>
    <row r="164" spans="1:61" ht="12.75">
      <c r="A164" s="24" t="s">
        <v>143</v>
      </c>
      <c r="B164" s="25"/>
      <c r="C164" s="25" t="s">
        <v>391</v>
      </c>
      <c r="D164" s="25" t="s">
        <v>638</v>
      </c>
      <c r="E164" s="25" t="s">
        <v>756</v>
      </c>
      <c r="F164" s="26">
        <v>1</v>
      </c>
      <c r="G164" s="1">
        <v>0</v>
      </c>
      <c r="H164" s="26">
        <f>F164*AN164</f>
        <v>0</v>
      </c>
      <c r="I164" s="26">
        <f>F164*AO164</f>
        <v>0</v>
      </c>
      <c r="J164" s="26">
        <f>F164*G164</f>
        <v>0</v>
      </c>
      <c r="K164" s="26">
        <v>0</v>
      </c>
      <c r="L164" s="26">
        <f>F164*K164</f>
        <v>0</v>
      </c>
      <c r="Y164" s="27">
        <f>IF(AP164="5",BI164,0)</f>
        <v>0</v>
      </c>
      <c r="AA164" s="27">
        <f>IF(AP164="1",BG164,0)</f>
        <v>0</v>
      </c>
      <c r="AB164" s="27">
        <f>IF(AP164="1",BH164,0)</f>
        <v>0</v>
      </c>
      <c r="AC164" s="27">
        <f>IF(AP164="7",BG164,0)</f>
        <v>0</v>
      </c>
      <c r="AD164" s="27">
        <f>IF(AP164="7",BH164,0)</f>
        <v>0</v>
      </c>
      <c r="AE164" s="27">
        <f>IF(AP164="2",BG164,0)</f>
        <v>0</v>
      </c>
      <c r="AF164" s="27">
        <f>IF(AP164="2",BH164,0)</f>
        <v>0</v>
      </c>
      <c r="AG164" s="27">
        <f>IF(AP164="0",BI164,0)</f>
        <v>0</v>
      </c>
      <c r="AH164" s="17"/>
      <c r="AI164" s="26">
        <f>IF(AM164=0,J164,0)</f>
        <v>0</v>
      </c>
      <c r="AJ164" s="26">
        <f>IF(AM164=15,J164,0)</f>
        <v>0</v>
      </c>
      <c r="AK164" s="26">
        <f>IF(AM164=21,J164,0)</f>
        <v>0</v>
      </c>
      <c r="AM164" s="27">
        <v>21</v>
      </c>
      <c r="AN164" s="27">
        <f>G164*0</f>
        <v>0</v>
      </c>
      <c r="AO164" s="27">
        <f>G164*(1-0)</f>
        <v>0</v>
      </c>
      <c r="AP164" s="28" t="s">
        <v>13</v>
      </c>
      <c r="AU164" s="27">
        <f>AV164+AW164</f>
        <v>0</v>
      </c>
      <c r="AV164" s="27">
        <f>F164*AN164</f>
        <v>0</v>
      </c>
      <c r="AW164" s="27">
        <f>F164*AO164</f>
        <v>0</v>
      </c>
      <c r="AX164" s="29" t="s">
        <v>786</v>
      </c>
      <c r="AY164" s="29" t="s">
        <v>793</v>
      </c>
      <c r="AZ164" s="17" t="s">
        <v>796</v>
      </c>
      <c r="BB164" s="27">
        <f>AV164+AW164</f>
        <v>0</v>
      </c>
      <c r="BC164" s="27">
        <f>G164/(100-BD164)*100</f>
        <v>0</v>
      </c>
      <c r="BD164" s="27">
        <v>0</v>
      </c>
      <c r="BE164" s="27">
        <f>L164</f>
        <v>0</v>
      </c>
      <c r="BG164" s="26">
        <f>F164*AN164</f>
        <v>0</v>
      </c>
      <c r="BH164" s="26">
        <f>F164*AO164</f>
        <v>0</v>
      </c>
      <c r="BI164" s="26">
        <f>F164*G164</f>
        <v>0</v>
      </c>
    </row>
    <row r="165" ht="12">
      <c r="D165" s="39" t="s">
        <v>637</v>
      </c>
    </row>
    <row r="166" spans="1:61" ht="12.75">
      <c r="A166" s="24" t="s">
        <v>144</v>
      </c>
      <c r="B166" s="25"/>
      <c r="C166" s="25" t="s">
        <v>392</v>
      </c>
      <c r="D166" s="25" t="s">
        <v>639</v>
      </c>
      <c r="E166" s="25" t="s">
        <v>753</v>
      </c>
      <c r="F166" s="26">
        <v>1</v>
      </c>
      <c r="G166" s="1">
        <v>0</v>
      </c>
      <c r="H166" s="26">
        <f aca="true" t="shared" si="139" ref="H166:H173">F166*AN166</f>
        <v>0</v>
      </c>
      <c r="I166" s="26">
        <f aca="true" t="shared" si="140" ref="I166:I173">F166*AO166</f>
        <v>0</v>
      </c>
      <c r="J166" s="26">
        <f aca="true" t="shared" si="141" ref="J166:J173">F166*G166</f>
        <v>0</v>
      </c>
      <c r="K166" s="26">
        <v>0</v>
      </c>
      <c r="L166" s="26">
        <f aca="true" t="shared" si="142" ref="L166:L173">F166*K166</f>
        <v>0</v>
      </c>
      <c r="Y166" s="27">
        <f aca="true" t="shared" si="143" ref="Y166:Y173">IF(AP166="5",BI166,0)</f>
        <v>0</v>
      </c>
      <c r="AA166" s="27">
        <f aca="true" t="shared" si="144" ref="AA166:AA173">IF(AP166="1",BG166,0)</f>
        <v>0</v>
      </c>
      <c r="AB166" s="27">
        <f aca="true" t="shared" si="145" ref="AB166:AB173">IF(AP166="1",BH166,0)</f>
        <v>0</v>
      </c>
      <c r="AC166" s="27">
        <f aca="true" t="shared" si="146" ref="AC166:AC173">IF(AP166="7",BG166,0)</f>
        <v>0</v>
      </c>
      <c r="AD166" s="27">
        <f aca="true" t="shared" si="147" ref="AD166:AD173">IF(AP166="7",BH166,0)</f>
        <v>0</v>
      </c>
      <c r="AE166" s="27">
        <f aca="true" t="shared" si="148" ref="AE166:AE173">IF(AP166="2",BG166,0)</f>
        <v>0</v>
      </c>
      <c r="AF166" s="27">
        <f aca="true" t="shared" si="149" ref="AF166:AF173">IF(AP166="2",BH166,0)</f>
        <v>0</v>
      </c>
      <c r="AG166" s="27">
        <f aca="true" t="shared" si="150" ref="AG166:AG173">IF(AP166="0",BI166,0)</f>
        <v>0</v>
      </c>
      <c r="AH166" s="17"/>
      <c r="AI166" s="26">
        <f aca="true" t="shared" si="151" ref="AI166:AI173">IF(AM166=0,J166,0)</f>
        <v>0</v>
      </c>
      <c r="AJ166" s="26">
        <f aca="true" t="shared" si="152" ref="AJ166:AJ173">IF(AM166=15,J166,0)</f>
        <v>0</v>
      </c>
      <c r="AK166" s="26">
        <f aca="true" t="shared" si="153" ref="AK166:AK173">IF(AM166=21,J166,0)</f>
        <v>0</v>
      </c>
      <c r="AM166" s="27">
        <v>21</v>
      </c>
      <c r="AN166" s="27">
        <f aca="true" t="shared" si="154" ref="AN166:AN173">G166*0</f>
        <v>0</v>
      </c>
      <c r="AO166" s="27">
        <f aca="true" t="shared" si="155" ref="AO166:AO173">G166*(1-0)</f>
        <v>0</v>
      </c>
      <c r="AP166" s="28" t="s">
        <v>13</v>
      </c>
      <c r="AU166" s="27">
        <f aca="true" t="shared" si="156" ref="AU166:AU173">AV166+AW166</f>
        <v>0</v>
      </c>
      <c r="AV166" s="27">
        <f aca="true" t="shared" si="157" ref="AV166:AV173">F166*AN166</f>
        <v>0</v>
      </c>
      <c r="AW166" s="27">
        <f aca="true" t="shared" si="158" ref="AW166:AW173">F166*AO166</f>
        <v>0</v>
      </c>
      <c r="AX166" s="29" t="s">
        <v>786</v>
      </c>
      <c r="AY166" s="29" t="s">
        <v>793</v>
      </c>
      <c r="AZ166" s="17" t="s">
        <v>796</v>
      </c>
      <c r="BB166" s="27">
        <f aca="true" t="shared" si="159" ref="BB166:BB173">AV166+AW166</f>
        <v>0</v>
      </c>
      <c r="BC166" s="27">
        <f aca="true" t="shared" si="160" ref="BC166:BC173">G166/(100-BD166)*100</f>
        <v>0</v>
      </c>
      <c r="BD166" s="27">
        <v>0</v>
      </c>
      <c r="BE166" s="27">
        <f aca="true" t="shared" si="161" ref="BE166:BE173">L166</f>
        <v>0</v>
      </c>
      <c r="BG166" s="26">
        <f aca="true" t="shared" si="162" ref="BG166:BG173">F166*AN166</f>
        <v>0</v>
      </c>
      <c r="BH166" s="26">
        <f aca="true" t="shared" si="163" ref="BH166:BH173">F166*AO166</f>
        <v>0</v>
      </c>
      <c r="BI166" s="26">
        <f aca="true" t="shared" si="164" ref="BI166:BI173">F166*G166</f>
        <v>0</v>
      </c>
    </row>
    <row r="167" spans="1:61" ht="12.75">
      <c r="A167" s="24" t="s">
        <v>145</v>
      </c>
      <c r="B167" s="25"/>
      <c r="C167" s="25" t="s">
        <v>393</v>
      </c>
      <c r="D167" s="25" t="s">
        <v>640</v>
      </c>
      <c r="E167" s="25" t="s">
        <v>753</v>
      </c>
      <c r="F167" s="26">
        <v>1</v>
      </c>
      <c r="G167" s="1">
        <v>0</v>
      </c>
      <c r="H167" s="26">
        <f t="shared" si="139"/>
        <v>0</v>
      </c>
      <c r="I167" s="26">
        <f t="shared" si="140"/>
        <v>0</v>
      </c>
      <c r="J167" s="26">
        <f t="shared" si="141"/>
        <v>0</v>
      </c>
      <c r="K167" s="26">
        <v>0</v>
      </c>
      <c r="L167" s="26">
        <f t="shared" si="142"/>
        <v>0</v>
      </c>
      <c r="Y167" s="27">
        <f t="shared" si="143"/>
        <v>0</v>
      </c>
      <c r="AA167" s="27">
        <f t="shared" si="144"/>
        <v>0</v>
      </c>
      <c r="AB167" s="27">
        <f t="shared" si="145"/>
        <v>0</v>
      </c>
      <c r="AC167" s="27">
        <f t="shared" si="146"/>
        <v>0</v>
      </c>
      <c r="AD167" s="27">
        <f t="shared" si="147"/>
        <v>0</v>
      </c>
      <c r="AE167" s="27">
        <f t="shared" si="148"/>
        <v>0</v>
      </c>
      <c r="AF167" s="27">
        <f t="shared" si="149"/>
        <v>0</v>
      </c>
      <c r="AG167" s="27">
        <f t="shared" si="150"/>
        <v>0</v>
      </c>
      <c r="AH167" s="17"/>
      <c r="AI167" s="26">
        <f t="shared" si="151"/>
        <v>0</v>
      </c>
      <c r="AJ167" s="26">
        <f t="shared" si="152"/>
        <v>0</v>
      </c>
      <c r="AK167" s="26">
        <f t="shared" si="153"/>
        <v>0</v>
      </c>
      <c r="AM167" s="27">
        <v>21</v>
      </c>
      <c r="AN167" s="27">
        <f t="shared" si="154"/>
        <v>0</v>
      </c>
      <c r="AO167" s="27">
        <f t="shared" si="155"/>
        <v>0</v>
      </c>
      <c r="AP167" s="28" t="s">
        <v>13</v>
      </c>
      <c r="AU167" s="27">
        <f t="shared" si="156"/>
        <v>0</v>
      </c>
      <c r="AV167" s="27">
        <f t="shared" si="157"/>
        <v>0</v>
      </c>
      <c r="AW167" s="27">
        <f t="shared" si="158"/>
        <v>0</v>
      </c>
      <c r="AX167" s="29" t="s">
        <v>786</v>
      </c>
      <c r="AY167" s="29" t="s">
        <v>793</v>
      </c>
      <c r="AZ167" s="17" t="s">
        <v>796</v>
      </c>
      <c r="BB167" s="27">
        <f t="shared" si="159"/>
        <v>0</v>
      </c>
      <c r="BC167" s="27">
        <f t="shared" si="160"/>
        <v>0</v>
      </c>
      <c r="BD167" s="27">
        <v>0</v>
      </c>
      <c r="BE167" s="27">
        <f t="shared" si="161"/>
        <v>0</v>
      </c>
      <c r="BG167" s="26">
        <f t="shared" si="162"/>
        <v>0</v>
      </c>
      <c r="BH167" s="26">
        <f t="shared" si="163"/>
        <v>0</v>
      </c>
      <c r="BI167" s="26">
        <f t="shared" si="164"/>
        <v>0</v>
      </c>
    </row>
    <row r="168" spans="1:61" ht="12.75">
      <c r="A168" s="24" t="s">
        <v>146</v>
      </c>
      <c r="B168" s="25"/>
      <c r="C168" s="25" t="s">
        <v>394</v>
      </c>
      <c r="D168" s="25" t="s">
        <v>641</v>
      </c>
      <c r="E168" s="25" t="s">
        <v>753</v>
      </c>
      <c r="F168" s="26">
        <v>1</v>
      </c>
      <c r="G168" s="1">
        <v>0</v>
      </c>
      <c r="H168" s="26">
        <f t="shared" si="139"/>
        <v>0</v>
      </c>
      <c r="I168" s="26">
        <f t="shared" si="140"/>
        <v>0</v>
      </c>
      <c r="J168" s="26">
        <f t="shared" si="141"/>
        <v>0</v>
      </c>
      <c r="K168" s="26">
        <v>0</v>
      </c>
      <c r="L168" s="26">
        <f t="shared" si="142"/>
        <v>0</v>
      </c>
      <c r="Y168" s="27">
        <f t="shared" si="143"/>
        <v>0</v>
      </c>
      <c r="AA168" s="27">
        <f t="shared" si="144"/>
        <v>0</v>
      </c>
      <c r="AB168" s="27">
        <f t="shared" si="145"/>
        <v>0</v>
      </c>
      <c r="AC168" s="27">
        <f t="shared" si="146"/>
        <v>0</v>
      </c>
      <c r="AD168" s="27">
        <f t="shared" si="147"/>
        <v>0</v>
      </c>
      <c r="AE168" s="27">
        <f t="shared" si="148"/>
        <v>0</v>
      </c>
      <c r="AF168" s="27">
        <f t="shared" si="149"/>
        <v>0</v>
      </c>
      <c r="AG168" s="27">
        <f t="shared" si="150"/>
        <v>0</v>
      </c>
      <c r="AH168" s="17"/>
      <c r="AI168" s="26">
        <f t="shared" si="151"/>
        <v>0</v>
      </c>
      <c r="AJ168" s="26">
        <f t="shared" si="152"/>
        <v>0</v>
      </c>
      <c r="AK168" s="26">
        <f t="shared" si="153"/>
        <v>0</v>
      </c>
      <c r="AM168" s="27">
        <v>21</v>
      </c>
      <c r="AN168" s="27">
        <f t="shared" si="154"/>
        <v>0</v>
      </c>
      <c r="AO168" s="27">
        <f t="shared" si="155"/>
        <v>0</v>
      </c>
      <c r="AP168" s="28" t="s">
        <v>13</v>
      </c>
      <c r="AU168" s="27">
        <f t="shared" si="156"/>
        <v>0</v>
      </c>
      <c r="AV168" s="27">
        <f t="shared" si="157"/>
        <v>0</v>
      </c>
      <c r="AW168" s="27">
        <f t="shared" si="158"/>
        <v>0</v>
      </c>
      <c r="AX168" s="29" t="s">
        <v>786</v>
      </c>
      <c r="AY168" s="29" t="s">
        <v>793</v>
      </c>
      <c r="AZ168" s="17" t="s">
        <v>796</v>
      </c>
      <c r="BB168" s="27">
        <f t="shared" si="159"/>
        <v>0</v>
      </c>
      <c r="BC168" s="27">
        <f t="shared" si="160"/>
        <v>0</v>
      </c>
      <c r="BD168" s="27">
        <v>0</v>
      </c>
      <c r="BE168" s="27">
        <f t="shared" si="161"/>
        <v>0</v>
      </c>
      <c r="BG168" s="26">
        <f t="shared" si="162"/>
        <v>0</v>
      </c>
      <c r="BH168" s="26">
        <f t="shared" si="163"/>
        <v>0</v>
      </c>
      <c r="BI168" s="26">
        <f t="shared" si="164"/>
        <v>0</v>
      </c>
    </row>
    <row r="169" spans="1:61" ht="12.75">
      <c r="A169" s="24" t="s">
        <v>147</v>
      </c>
      <c r="B169" s="25"/>
      <c r="C169" s="25" t="s">
        <v>395</v>
      </c>
      <c r="D169" s="25" t="s">
        <v>642</v>
      </c>
      <c r="E169" s="25" t="s">
        <v>752</v>
      </c>
      <c r="F169" s="26">
        <v>1</v>
      </c>
      <c r="G169" s="1">
        <v>0</v>
      </c>
      <c r="H169" s="26">
        <f t="shared" si="139"/>
        <v>0</v>
      </c>
      <c r="I169" s="26">
        <f t="shared" si="140"/>
        <v>0</v>
      </c>
      <c r="J169" s="26">
        <f t="shared" si="141"/>
        <v>0</v>
      </c>
      <c r="K169" s="26">
        <v>0</v>
      </c>
      <c r="L169" s="26">
        <f t="shared" si="142"/>
        <v>0</v>
      </c>
      <c r="Y169" s="27">
        <f t="shared" si="143"/>
        <v>0</v>
      </c>
      <c r="AA169" s="27">
        <f t="shared" si="144"/>
        <v>0</v>
      </c>
      <c r="AB169" s="27">
        <f t="shared" si="145"/>
        <v>0</v>
      </c>
      <c r="AC169" s="27">
        <f t="shared" si="146"/>
        <v>0</v>
      </c>
      <c r="AD169" s="27">
        <f t="shared" si="147"/>
        <v>0</v>
      </c>
      <c r="AE169" s="27">
        <f t="shared" si="148"/>
        <v>0</v>
      </c>
      <c r="AF169" s="27">
        <f t="shared" si="149"/>
        <v>0</v>
      </c>
      <c r="AG169" s="27">
        <f t="shared" si="150"/>
        <v>0</v>
      </c>
      <c r="AH169" s="17"/>
      <c r="AI169" s="26">
        <f t="shared" si="151"/>
        <v>0</v>
      </c>
      <c r="AJ169" s="26">
        <f t="shared" si="152"/>
        <v>0</v>
      </c>
      <c r="AK169" s="26">
        <f t="shared" si="153"/>
        <v>0</v>
      </c>
      <c r="AM169" s="27">
        <v>21</v>
      </c>
      <c r="AN169" s="27">
        <f t="shared" si="154"/>
        <v>0</v>
      </c>
      <c r="AO169" s="27">
        <f t="shared" si="155"/>
        <v>0</v>
      </c>
      <c r="AP169" s="28" t="s">
        <v>11</v>
      </c>
      <c r="AU169" s="27">
        <f t="shared" si="156"/>
        <v>0</v>
      </c>
      <c r="AV169" s="27">
        <f t="shared" si="157"/>
        <v>0</v>
      </c>
      <c r="AW169" s="27">
        <f t="shared" si="158"/>
        <v>0</v>
      </c>
      <c r="AX169" s="29" t="s">
        <v>786</v>
      </c>
      <c r="AY169" s="29" t="s">
        <v>793</v>
      </c>
      <c r="AZ169" s="17" t="s">
        <v>796</v>
      </c>
      <c r="BB169" s="27">
        <f t="shared" si="159"/>
        <v>0</v>
      </c>
      <c r="BC169" s="27">
        <f t="shared" si="160"/>
        <v>0</v>
      </c>
      <c r="BD169" s="27">
        <v>0</v>
      </c>
      <c r="BE169" s="27">
        <f t="shared" si="161"/>
        <v>0</v>
      </c>
      <c r="BG169" s="26">
        <f t="shared" si="162"/>
        <v>0</v>
      </c>
      <c r="BH169" s="26">
        <f t="shared" si="163"/>
        <v>0</v>
      </c>
      <c r="BI169" s="26">
        <f t="shared" si="164"/>
        <v>0</v>
      </c>
    </row>
    <row r="170" spans="1:61" ht="12.75">
      <c r="A170" s="24" t="s">
        <v>148</v>
      </c>
      <c r="B170" s="25"/>
      <c r="C170" s="25" t="s">
        <v>396</v>
      </c>
      <c r="D170" s="25" t="s">
        <v>643</v>
      </c>
      <c r="E170" s="25" t="s">
        <v>752</v>
      </c>
      <c r="F170" s="26">
        <v>1</v>
      </c>
      <c r="G170" s="1">
        <v>0</v>
      </c>
      <c r="H170" s="26">
        <f t="shared" si="139"/>
        <v>0</v>
      </c>
      <c r="I170" s="26">
        <f t="shared" si="140"/>
        <v>0</v>
      </c>
      <c r="J170" s="26">
        <f t="shared" si="141"/>
        <v>0</v>
      </c>
      <c r="K170" s="26">
        <v>0</v>
      </c>
      <c r="L170" s="26">
        <f t="shared" si="142"/>
        <v>0</v>
      </c>
      <c r="Y170" s="27">
        <f t="shared" si="143"/>
        <v>0</v>
      </c>
      <c r="AA170" s="27">
        <f t="shared" si="144"/>
        <v>0</v>
      </c>
      <c r="AB170" s="27">
        <f t="shared" si="145"/>
        <v>0</v>
      </c>
      <c r="AC170" s="27">
        <f t="shared" si="146"/>
        <v>0</v>
      </c>
      <c r="AD170" s="27">
        <f t="shared" si="147"/>
        <v>0</v>
      </c>
      <c r="AE170" s="27">
        <f t="shared" si="148"/>
        <v>0</v>
      </c>
      <c r="AF170" s="27">
        <f t="shared" si="149"/>
        <v>0</v>
      </c>
      <c r="AG170" s="27">
        <f t="shared" si="150"/>
        <v>0</v>
      </c>
      <c r="AH170" s="17"/>
      <c r="AI170" s="26">
        <f t="shared" si="151"/>
        <v>0</v>
      </c>
      <c r="AJ170" s="26">
        <f t="shared" si="152"/>
        <v>0</v>
      </c>
      <c r="AK170" s="26">
        <f t="shared" si="153"/>
        <v>0</v>
      </c>
      <c r="AM170" s="27">
        <v>21</v>
      </c>
      <c r="AN170" s="27">
        <f t="shared" si="154"/>
        <v>0</v>
      </c>
      <c r="AO170" s="27">
        <f t="shared" si="155"/>
        <v>0</v>
      </c>
      <c r="AP170" s="28" t="s">
        <v>11</v>
      </c>
      <c r="AU170" s="27">
        <f t="shared" si="156"/>
        <v>0</v>
      </c>
      <c r="AV170" s="27">
        <f t="shared" si="157"/>
        <v>0</v>
      </c>
      <c r="AW170" s="27">
        <f t="shared" si="158"/>
        <v>0</v>
      </c>
      <c r="AX170" s="29" t="s">
        <v>786</v>
      </c>
      <c r="AY170" s="29" t="s">
        <v>793</v>
      </c>
      <c r="AZ170" s="17" t="s">
        <v>796</v>
      </c>
      <c r="BB170" s="27">
        <f t="shared" si="159"/>
        <v>0</v>
      </c>
      <c r="BC170" s="27">
        <f t="shared" si="160"/>
        <v>0</v>
      </c>
      <c r="BD170" s="27">
        <v>0</v>
      </c>
      <c r="BE170" s="27">
        <f t="shared" si="161"/>
        <v>0</v>
      </c>
      <c r="BG170" s="26">
        <f t="shared" si="162"/>
        <v>0</v>
      </c>
      <c r="BH170" s="26">
        <f t="shared" si="163"/>
        <v>0</v>
      </c>
      <c r="BI170" s="26">
        <f t="shared" si="164"/>
        <v>0</v>
      </c>
    </row>
    <row r="171" spans="1:61" ht="12.75">
      <c r="A171" s="24" t="s">
        <v>149</v>
      </c>
      <c r="B171" s="25"/>
      <c r="C171" s="25" t="s">
        <v>397</v>
      </c>
      <c r="D171" s="25" t="s">
        <v>644</v>
      </c>
      <c r="E171" s="25" t="s">
        <v>752</v>
      </c>
      <c r="F171" s="26">
        <v>1</v>
      </c>
      <c r="G171" s="1">
        <v>0</v>
      </c>
      <c r="H171" s="26">
        <f t="shared" si="139"/>
        <v>0</v>
      </c>
      <c r="I171" s="26">
        <f t="shared" si="140"/>
        <v>0</v>
      </c>
      <c r="J171" s="26">
        <f t="shared" si="141"/>
        <v>0</v>
      </c>
      <c r="K171" s="26">
        <v>0</v>
      </c>
      <c r="L171" s="26">
        <f t="shared" si="142"/>
        <v>0</v>
      </c>
      <c r="Y171" s="27">
        <f t="shared" si="143"/>
        <v>0</v>
      </c>
      <c r="AA171" s="27">
        <f t="shared" si="144"/>
        <v>0</v>
      </c>
      <c r="AB171" s="27">
        <f t="shared" si="145"/>
        <v>0</v>
      </c>
      <c r="AC171" s="27">
        <f t="shared" si="146"/>
        <v>0</v>
      </c>
      <c r="AD171" s="27">
        <f t="shared" si="147"/>
        <v>0</v>
      </c>
      <c r="AE171" s="27">
        <f t="shared" si="148"/>
        <v>0</v>
      </c>
      <c r="AF171" s="27">
        <f t="shared" si="149"/>
        <v>0</v>
      </c>
      <c r="AG171" s="27">
        <f t="shared" si="150"/>
        <v>0</v>
      </c>
      <c r="AH171" s="17"/>
      <c r="AI171" s="26">
        <f t="shared" si="151"/>
        <v>0</v>
      </c>
      <c r="AJ171" s="26">
        <f t="shared" si="152"/>
        <v>0</v>
      </c>
      <c r="AK171" s="26">
        <f t="shared" si="153"/>
        <v>0</v>
      </c>
      <c r="AM171" s="27">
        <v>21</v>
      </c>
      <c r="AN171" s="27">
        <f t="shared" si="154"/>
        <v>0</v>
      </c>
      <c r="AO171" s="27">
        <f t="shared" si="155"/>
        <v>0</v>
      </c>
      <c r="AP171" s="28" t="s">
        <v>11</v>
      </c>
      <c r="AU171" s="27">
        <f t="shared" si="156"/>
        <v>0</v>
      </c>
      <c r="AV171" s="27">
        <f t="shared" si="157"/>
        <v>0</v>
      </c>
      <c r="AW171" s="27">
        <f t="shared" si="158"/>
        <v>0</v>
      </c>
      <c r="AX171" s="29" t="s">
        <v>786</v>
      </c>
      <c r="AY171" s="29" t="s">
        <v>793</v>
      </c>
      <c r="AZ171" s="17" t="s">
        <v>796</v>
      </c>
      <c r="BB171" s="27">
        <f t="shared" si="159"/>
        <v>0</v>
      </c>
      <c r="BC171" s="27">
        <f t="shared" si="160"/>
        <v>0</v>
      </c>
      <c r="BD171" s="27">
        <v>0</v>
      </c>
      <c r="BE171" s="27">
        <f t="shared" si="161"/>
        <v>0</v>
      </c>
      <c r="BG171" s="26">
        <f t="shared" si="162"/>
        <v>0</v>
      </c>
      <c r="BH171" s="26">
        <f t="shared" si="163"/>
        <v>0</v>
      </c>
      <c r="BI171" s="26">
        <f t="shared" si="164"/>
        <v>0</v>
      </c>
    </row>
    <row r="172" spans="1:61" ht="12.75">
      <c r="A172" s="24" t="s">
        <v>150</v>
      </c>
      <c r="B172" s="25"/>
      <c r="C172" s="25" t="s">
        <v>398</v>
      </c>
      <c r="D172" s="25" t="s">
        <v>645</v>
      </c>
      <c r="E172" s="25" t="s">
        <v>752</v>
      </c>
      <c r="F172" s="26">
        <v>1</v>
      </c>
      <c r="G172" s="1">
        <v>0</v>
      </c>
      <c r="H172" s="26">
        <f t="shared" si="139"/>
        <v>0</v>
      </c>
      <c r="I172" s="26">
        <f t="shared" si="140"/>
        <v>0</v>
      </c>
      <c r="J172" s="26">
        <f t="shared" si="141"/>
        <v>0</v>
      </c>
      <c r="K172" s="26">
        <v>0</v>
      </c>
      <c r="L172" s="26">
        <f t="shared" si="142"/>
        <v>0</v>
      </c>
      <c r="Y172" s="27">
        <f t="shared" si="143"/>
        <v>0</v>
      </c>
      <c r="AA172" s="27">
        <f t="shared" si="144"/>
        <v>0</v>
      </c>
      <c r="AB172" s="27">
        <f t="shared" si="145"/>
        <v>0</v>
      </c>
      <c r="AC172" s="27">
        <f t="shared" si="146"/>
        <v>0</v>
      </c>
      <c r="AD172" s="27">
        <f t="shared" si="147"/>
        <v>0</v>
      </c>
      <c r="AE172" s="27">
        <f t="shared" si="148"/>
        <v>0</v>
      </c>
      <c r="AF172" s="27">
        <f t="shared" si="149"/>
        <v>0</v>
      </c>
      <c r="AG172" s="27">
        <f t="shared" si="150"/>
        <v>0</v>
      </c>
      <c r="AH172" s="17"/>
      <c r="AI172" s="26">
        <f t="shared" si="151"/>
        <v>0</v>
      </c>
      <c r="AJ172" s="26">
        <f t="shared" si="152"/>
        <v>0</v>
      </c>
      <c r="AK172" s="26">
        <f t="shared" si="153"/>
        <v>0</v>
      </c>
      <c r="AM172" s="27">
        <v>21</v>
      </c>
      <c r="AN172" s="27">
        <f t="shared" si="154"/>
        <v>0</v>
      </c>
      <c r="AO172" s="27">
        <f t="shared" si="155"/>
        <v>0</v>
      </c>
      <c r="AP172" s="28" t="s">
        <v>11</v>
      </c>
      <c r="AU172" s="27">
        <f t="shared" si="156"/>
        <v>0</v>
      </c>
      <c r="AV172" s="27">
        <f t="shared" si="157"/>
        <v>0</v>
      </c>
      <c r="AW172" s="27">
        <f t="shared" si="158"/>
        <v>0</v>
      </c>
      <c r="AX172" s="29" t="s">
        <v>786</v>
      </c>
      <c r="AY172" s="29" t="s">
        <v>793</v>
      </c>
      <c r="AZ172" s="17" t="s">
        <v>796</v>
      </c>
      <c r="BB172" s="27">
        <f t="shared" si="159"/>
        <v>0</v>
      </c>
      <c r="BC172" s="27">
        <f t="shared" si="160"/>
        <v>0</v>
      </c>
      <c r="BD172" s="27">
        <v>0</v>
      </c>
      <c r="BE172" s="27">
        <f t="shared" si="161"/>
        <v>0</v>
      </c>
      <c r="BG172" s="26">
        <f t="shared" si="162"/>
        <v>0</v>
      </c>
      <c r="BH172" s="26">
        <f t="shared" si="163"/>
        <v>0</v>
      </c>
      <c r="BI172" s="26">
        <f t="shared" si="164"/>
        <v>0</v>
      </c>
    </row>
    <row r="173" spans="1:61" ht="12.75">
      <c r="A173" s="24" t="s">
        <v>151</v>
      </c>
      <c r="B173" s="25"/>
      <c r="C173" s="25" t="s">
        <v>399</v>
      </c>
      <c r="D173" s="25" t="s">
        <v>646</v>
      </c>
      <c r="E173" s="25" t="s">
        <v>752</v>
      </c>
      <c r="F173" s="26">
        <v>1</v>
      </c>
      <c r="G173" s="1">
        <v>0</v>
      </c>
      <c r="H173" s="26">
        <f t="shared" si="139"/>
        <v>0</v>
      </c>
      <c r="I173" s="26">
        <f t="shared" si="140"/>
        <v>0</v>
      </c>
      <c r="J173" s="26">
        <f t="shared" si="141"/>
        <v>0</v>
      </c>
      <c r="K173" s="26">
        <v>0</v>
      </c>
      <c r="L173" s="26">
        <f t="shared" si="142"/>
        <v>0</v>
      </c>
      <c r="Y173" s="27">
        <f t="shared" si="143"/>
        <v>0</v>
      </c>
      <c r="AA173" s="27">
        <f t="shared" si="144"/>
        <v>0</v>
      </c>
      <c r="AB173" s="27">
        <f t="shared" si="145"/>
        <v>0</v>
      </c>
      <c r="AC173" s="27">
        <f t="shared" si="146"/>
        <v>0</v>
      </c>
      <c r="AD173" s="27">
        <f t="shared" si="147"/>
        <v>0</v>
      </c>
      <c r="AE173" s="27">
        <f t="shared" si="148"/>
        <v>0</v>
      </c>
      <c r="AF173" s="27">
        <f t="shared" si="149"/>
        <v>0</v>
      </c>
      <c r="AG173" s="27">
        <f t="shared" si="150"/>
        <v>0</v>
      </c>
      <c r="AH173" s="17"/>
      <c r="AI173" s="26">
        <f t="shared" si="151"/>
        <v>0</v>
      </c>
      <c r="AJ173" s="26">
        <f t="shared" si="152"/>
        <v>0</v>
      </c>
      <c r="AK173" s="26">
        <f t="shared" si="153"/>
        <v>0</v>
      </c>
      <c r="AM173" s="27">
        <v>21</v>
      </c>
      <c r="AN173" s="27">
        <f t="shared" si="154"/>
        <v>0</v>
      </c>
      <c r="AO173" s="27">
        <f t="shared" si="155"/>
        <v>0</v>
      </c>
      <c r="AP173" s="28" t="s">
        <v>11</v>
      </c>
      <c r="AU173" s="27">
        <f t="shared" si="156"/>
        <v>0</v>
      </c>
      <c r="AV173" s="27">
        <f t="shared" si="157"/>
        <v>0</v>
      </c>
      <c r="AW173" s="27">
        <f t="shared" si="158"/>
        <v>0</v>
      </c>
      <c r="AX173" s="29" t="s">
        <v>786</v>
      </c>
      <c r="AY173" s="29" t="s">
        <v>793</v>
      </c>
      <c r="AZ173" s="17" t="s">
        <v>796</v>
      </c>
      <c r="BB173" s="27">
        <f t="shared" si="159"/>
        <v>0</v>
      </c>
      <c r="BC173" s="27">
        <f t="shared" si="160"/>
        <v>0</v>
      </c>
      <c r="BD173" s="27">
        <v>0</v>
      </c>
      <c r="BE173" s="27">
        <f t="shared" si="161"/>
        <v>0</v>
      </c>
      <c r="BG173" s="26">
        <f t="shared" si="162"/>
        <v>0</v>
      </c>
      <c r="BH173" s="26">
        <f t="shared" si="163"/>
        <v>0</v>
      </c>
      <c r="BI173" s="26">
        <f t="shared" si="164"/>
        <v>0</v>
      </c>
    </row>
    <row r="174" spans="1:46" ht="12.75">
      <c r="A174" s="30"/>
      <c r="B174" s="31"/>
      <c r="C174" s="31" t="s">
        <v>400</v>
      </c>
      <c r="D174" s="31" t="s">
        <v>647</v>
      </c>
      <c r="E174" s="32" t="s">
        <v>6</v>
      </c>
      <c r="F174" s="32" t="s">
        <v>6</v>
      </c>
      <c r="G174" s="32" t="s">
        <v>6</v>
      </c>
      <c r="H174" s="23">
        <f>SUM(H175:H240)</f>
        <v>0</v>
      </c>
      <c r="I174" s="23">
        <f>SUM(I175:I240)</f>
        <v>0</v>
      </c>
      <c r="J174" s="23">
        <f>SUM(J175:J240)</f>
        <v>0</v>
      </c>
      <c r="K174" s="17"/>
      <c r="L174" s="23">
        <f>SUM(L175:L240)</f>
        <v>0.016000000000000004</v>
      </c>
      <c r="AH174" s="17"/>
      <c r="AR174" s="23">
        <f>SUM(AI175:AI240)</f>
        <v>0</v>
      </c>
      <c r="AS174" s="23">
        <f>SUM(AJ175:AJ240)</f>
        <v>0</v>
      </c>
      <c r="AT174" s="23">
        <f>SUM(AK175:AK240)</f>
        <v>0</v>
      </c>
    </row>
    <row r="175" spans="1:61" ht="12.75">
      <c r="A175" s="24" t="s">
        <v>152</v>
      </c>
      <c r="B175" s="25"/>
      <c r="C175" s="25" t="s">
        <v>401</v>
      </c>
      <c r="D175" s="25" t="s">
        <v>648</v>
      </c>
      <c r="E175" s="25" t="s">
        <v>750</v>
      </c>
      <c r="F175" s="26">
        <v>1</v>
      </c>
      <c r="G175" s="1">
        <v>0</v>
      </c>
      <c r="H175" s="26">
        <f>F175*AN175</f>
        <v>0</v>
      </c>
      <c r="I175" s="26">
        <f>F175*AO175</f>
        <v>0</v>
      </c>
      <c r="J175" s="26">
        <f>F175*G175</f>
        <v>0</v>
      </c>
      <c r="K175" s="26">
        <v>0.0002</v>
      </c>
      <c r="L175" s="26">
        <f>F175*K175</f>
        <v>0.0002</v>
      </c>
      <c r="Y175" s="27">
        <f>IF(AP175="5",BI175,0)</f>
        <v>0</v>
      </c>
      <c r="AA175" s="27">
        <f>IF(AP175="1",BG175,0)</f>
        <v>0</v>
      </c>
      <c r="AB175" s="27">
        <f>IF(AP175="1",BH175,0)</f>
        <v>0</v>
      </c>
      <c r="AC175" s="27">
        <f>IF(AP175="7",BG175,0)</f>
        <v>0</v>
      </c>
      <c r="AD175" s="27">
        <f>IF(AP175="7",BH175,0)</f>
        <v>0</v>
      </c>
      <c r="AE175" s="27">
        <f>IF(AP175="2",BG175,0)</f>
        <v>0</v>
      </c>
      <c r="AF175" s="27">
        <f>IF(AP175="2",BH175,0)</f>
        <v>0</v>
      </c>
      <c r="AG175" s="27">
        <f>IF(AP175="0",BI175,0)</f>
        <v>0</v>
      </c>
      <c r="AH175" s="17"/>
      <c r="AI175" s="26">
        <f>IF(AM175=0,J175,0)</f>
        <v>0</v>
      </c>
      <c r="AJ175" s="26">
        <f>IF(AM175=15,J175,0)</f>
        <v>0</v>
      </c>
      <c r="AK175" s="26">
        <f>IF(AM175=21,J175,0)</f>
        <v>0</v>
      </c>
      <c r="AM175" s="27">
        <v>21</v>
      </c>
      <c r="AN175" s="27">
        <f>G175*0.377771428571429</f>
        <v>0</v>
      </c>
      <c r="AO175" s="27">
        <f>G175*(1-0.377771428571429)</f>
        <v>0</v>
      </c>
      <c r="AP175" s="28" t="s">
        <v>13</v>
      </c>
      <c r="AU175" s="27">
        <f>AV175+AW175</f>
        <v>0</v>
      </c>
      <c r="AV175" s="27">
        <f>F175*AN175</f>
        <v>0</v>
      </c>
      <c r="AW175" s="27">
        <f>F175*AO175</f>
        <v>0</v>
      </c>
      <c r="AX175" s="29" t="s">
        <v>787</v>
      </c>
      <c r="AY175" s="29" t="s">
        <v>794</v>
      </c>
      <c r="AZ175" s="17" t="s">
        <v>796</v>
      </c>
      <c r="BB175" s="27">
        <f>AV175+AW175</f>
        <v>0</v>
      </c>
      <c r="BC175" s="27">
        <f>G175/(100-BD175)*100</f>
        <v>0</v>
      </c>
      <c r="BD175" s="27">
        <v>0</v>
      </c>
      <c r="BE175" s="27">
        <f>L175</f>
        <v>0.0002</v>
      </c>
      <c r="BG175" s="26">
        <f>F175*AN175</f>
        <v>0</v>
      </c>
      <c r="BH175" s="26">
        <f>F175*AO175</f>
        <v>0</v>
      </c>
      <c r="BI175" s="26">
        <f>F175*G175</f>
        <v>0</v>
      </c>
    </row>
    <row r="176" spans="1:61" ht="12.75">
      <c r="A176" s="24" t="s">
        <v>153</v>
      </c>
      <c r="B176" s="25"/>
      <c r="C176" s="25" t="s">
        <v>402</v>
      </c>
      <c r="D176" s="25" t="s">
        <v>649</v>
      </c>
      <c r="E176" s="25" t="s">
        <v>750</v>
      </c>
      <c r="F176" s="26">
        <v>1</v>
      </c>
      <c r="G176" s="1">
        <v>0</v>
      </c>
      <c r="H176" s="26">
        <f>F176*AN176</f>
        <v>0</v>
      </c>
      <c r="I176" s="26">
        <f>F176*AO176</f>
        <v>0</v>
      </c>
      <c r="J176" s="26">
        <f>F176*G176</f>
        <v>0</v>
      </c>
      <c r="K176" s="26">
        <v>0.00027</v>
      </c>
      <c r="L176" s="26">
        <f>F176*K176</f>
        <v>0.00027</v>
      </c>
      <c r="Y176" s="27">
        <f>IF(AP176="5",BI176,0)</f>
        <v>0</v>
      </c>
      <c r="AA176" s="27">
        <f>IF(AP176="1",BG176,0)</f>
        <v>0</v>
      </c>
      <c r="AB176" s="27">
        <f>IF(AP176="1",BH176,0)</f>
        <v>0</v>
      </c>
      <c r="AC176" s="27">
        <f>IF(AP176="7",BG176,0)</f>
        <v>0</v>
      </c>
      <c r="AD176" s="27">
        <f>IF(AP176="7",BH176,0)</f>
        <v>0</v>
      </c>
      <c r="AE176" s="27">
        <f>IF(AP176="2",BG176,0)</f>
        <v>0</v>
      </c>
      <c r="AF176" s="27">
        <f>IF(AP176="2",BH176,0)</f>
        <v>0</v>
      </c>
      <c r="AG176" s="27">
        <f>IF(AP176="0",BI176,0)</f>
        <v>0</v>
      </c>
      <c r="AH176" s="17"/>
      <c r="AI176" s="26">
        <f>IF(AM176=0,J176,0)</f>
        <v>0</v>
      </c>
      <c r="AJ176" s="26">
        <f>IF(AM176=15,J176,0)</f>
        <v>0</v>
      </c>
      <c r="AK176" s="26">
        <f>IF(AM176=21,J176,0)</f>
        <v>0</v>
      </c>
      <c r="AM176" s="27">
        <v>21</v>
      </c>
      <c r="AN176" s="27">
        <f>G176*0.199972222222222</f>
        <v>0</v>
      </c>
      <c r="AO176" s="27">
        <f>G176*(1-0.199972222222222)</f>
        <v>0</v>
      </c>
      <c r="AP176" s="28" t="s">
        <v>13</v>
      </c>
      <c r="AU176" s="27">
        <f>AV176+AW176</f>
        <v>0</v>
      </c>
      <c r="AV176" s="27">
        <f>F176*AN176</f>
        <v>0</v>
      </c>
      <c r="AW176" s="27">
        <f>F176*AO176</f>
        <v>0</v>
      </c>
      <c r="AX176" s="29" t="s">
        <v>787</v>
      </c>
      <c r="AY176" s="29" t="s">
        <v>794</v>
      </c>
      <c r="AZ176" s="17" t="s">
        <v>796</v>
      </c>
      <c r="BB176" s="27">
        <f>AV176+AW176</f>
        <v>0</v>
      </c>
      <c r="BC176" s="27">
        <f>G176/(100-BD176)*100</f>
        <v>0</v>
      </c>
      <c r="BD176" s="27">
        <v>0</v>
      </c>
      <c r="BE176" s="27">
        <f>L176</f>
        <v>0.00027</v>
      </c>
      <c r="BG176" s="26">
        <f>F176*AN176</f>
        <v>0</v>
      </c>
      <c r="BH176" s="26">
        <f>F176*AO176</f>
        <v>0</v>
      </c>
      <c r="BI176" s="26">
        <f>F176*G176</f>
        <v>0</v>
      </c>
    </row>
    <row r="177" spans="4:7" ht="12">
      <c r="D177" s="39" t="s">
        <v>650</v>
      </c>
      <c r="G177" s="26"/>
    </row>
    <row r="178" spans="1:61" ht="12.75">
      <c r="A178" s="24" t="s">
        <v>154</v>
      </c>
      <c r="B178" s="25"/>
      <c r="C178" s="25" t="s">
        <v>403</v>
      </c>
      <c r="D178" s="25" t="s">
        <v>651</v>
      </c>
      <c r="E178" s="25" t="s">
        <v>750</v>
      </c>
      <c r="F178" s="26">
        <v>1</v>
      </c>
      <c r="G178" s="1">
        <v>0</v>
      </c>
      <c r="H178" s="26">
        <f>F178*AN178</f>
        <v>0</v>
      </c>
      <c r="I178" s="26">
        <f>F178*AO178</f>
        <v>0</v>
      </c>
      <c r="J178" s="26">
        <f>F178*G178</f>
        <v>0</v>
      </c>
      <c r="K178" s="26">
        <v>0.00027</v>
      </c>
      <c r="L178" s="26">
        <f>F178*K178</f>
        <v>0.00027</v>
      </c>
      <c r="Y178" s="27">
        <f>IF(AP178="5",BI178,0)</f>
        <v>0</v>
      </c>
      <c r="AA178" s="27">
        <f>IF(AP178="1",BG178,0)</f>
        <v>0</v>
      </c>
      <c r="AB178" s="27">
        <f>IF(AP178="1",BH178,0)</f>
        <v>0</v>
      </c>
      <c r="AC178" s="27">
        <f>IF(AP178="7",BG178,0)</f>
        <v>0</v>
      </c>
      <c r="AD178" s="27">
        <f>IF(AP178="7",BH178,0)</f>
        <v>0</v>
      </c>
      <c r="AE178" s="27">
        <f>IF(AP178="2",BG178,0)</f>
        <v>0</v>
      </c>
      <c r="AF178" s="27">
        <f>IF(AP178="2",BH178,0)</f>
        <v>0</v>
      </c>
      <c r="AG178" s="27">
        <f>IF(AP178="0",BI178,0)</f>
        <v>0</v>
      </c>
      <c r="AH178" s="17"/>
      <c r="AI178" s="26">
        <f>IF(AM178=0,J178,0)</f>
        <v>0</v>
      </c>
      <c r="AJ178" s="26">
        <f>IF(AM178=15,J178,0)</f>
        <v>0</v>
      </c>
      <c r="AK178" s="26">
        <f>IF(AM178=21,J178,0)</f>
        <v>0</v>
      </c>
      <c r="AM178" s="27">
        <v>21</v>
      </c>
      <c r="AN178" s="27">
        <f>G178*0.199972222222222</f>
        <v>0</v>
      </c>
      <c r="AO178" s="27">
        <f>G178*(1-0.199972222222222)</f>
        <v>0</v>
      </c>
      <c r="AP178" s="28" t="s">
        <v>13</v>
      </c>
      <c r="AU178" s="27">
        <f>AV178+AW178</f>
        <v>0</v>
      </c>
      <c r="AV178" s="27">
        <f>F178*AN178</f>
        <v>0</v>
      </c>
      <c r="AW178" s="27">
        <f>F178*AO178</f>
        <v>0</v>
      </c>
      <c r="AX178" s="29" t="s">
        <v>787</v>
      </c>
      <c r="AY178" s="29" t="s">
        <v>794</v>
      </c>
      <c r="AZ178" s="17" t="s">
        <v>796</v>
      </c>
      <c r="BB178" s="27">
        <f>AV178+AW178</f>
        <v>0</v>
      </c>
      <c r="BC178" s="27">
        <f>G178/(100-BD178)*100</f>
        <v>0</v>
      </c>
      <c r="BD178" s="27">
        <v>0</v>
      </c>
      <c r="BE178" s="27">
        <f>L178</f>
        <v>0.00027</v>
      </c>
      <c r="BG178" s="26">
        <f>F178*AN178</f>
        <v>0</v>
      </c>
      <c r="BH178" s="26">
        <f>F178*AO178</f>
        <v>0</v>
      </c>
      <c r="BI178" s="26">
        <f>F178*G178</f>
        <v>0</v>
      </c>
    </row>
    <row r="179" spans="4:7" ht="12">
      <c r="D179" s="39" t="s">
        <v>652</v>
      </c>
      <c r="G179" s="26"/>
    </row>
    <row r="180" spans="1:61" ht="12.75">
      <c r="A180" s="24" t="s">
        <v>155</v>
      </c>
      <c r="B180" s="25"/>
      <c r="C180" s="25" t="s">
        <v>404</v>
      </c>
      <c r="D180" s="25" t="s">
        <v>653</v>
      </c>
      <c r="E180" s="25" t="s">
        <v>750</v>
      </c>
      <c r="F180" s="26">
        <v>1</v>
      </c>
      <c r="G180" s="1">
        <v>0</v>
      </c>
      <c r="H180" s="26">
        <f aca="true" t="shared" si="165" ref="H180:H192">F180*AN180</f>
        <v>0</v>
      </c>
      <c r="I180" s="26">
        <f aca="true" t="shared" si="166" ref="I180:I192">F180*AO180</f>
        <v>0</v>
      </c>
      <c r="J180" s="26">
        <f aca="true" t="shared" si="167" ref="J180:J192">F180*G180</f>
        <v>0</v>
      </c>
      <c r="K180" s="26">
        <v>6E-05</v>
      </c>
      <c r="L180" s="26">
        <f aca="true" t="shared" si="168" ref="L180:L192">F180*K180</f>
        <v>6E-05</v>
      </c>
      <c r="Y180" s="27">
        <f aca="true" t="shared" si="169" ref="Y180:Y192">IF(AP180="5",BI180,0)</f>
        <v>0</v>
      </c>
      <c r="AA180" s="27">
        <f aca="true" t="shared" si="170" ref="AA180:AA192">IF(AP180="1",BG180,0)</f>
        <v>0</v>
      </c>
      <c r="AB180" s="27">
        <f aca="true" t="shared" si="171" ref="AB180:AB192">IF(AP180="1",BH180,0)</f>
        <v>0</v>
      </c>
      <c r="AC180" s="27">
        <f aca="true" t="shared" si="172" ref="AC180:AC192">IF(AP180="7",BG180,0)</f>
        <v>0</v>
      </c>
      <c r="AD180" s="27">
        <f aca="true" t="shared" si="173" ref="AD180:AD192">IF(AP180="7",BH180,0)</f>
        <v>0</v>
      </c>
      <c r="AE180" s="27">
        <f aca="true" t="shared" si="174" ref="AE180:AE192">IF(AP180="2",BG180,0)</f>
        <v>0</v>
      </c>
      <c r="AF180" s="27">
        <f aca="true" t="shared" si="175" ref="AF180:AF192">IF(AP180="2",BH180,0)</f>
        <v>0</v>
      </c>
      <c r="AG180" s="27">
        <f aca="true" t="shared" si="176" ref="AG180:AG192">IF(AP180="0",BI180,0)</f>
        <v>0</v>
      </c>
      <c r="AH180" s="17"/>
      <c r="AI180" s="26">
        <f aca="true" t="shared" si="177" ref="AI180:AI192">IF(AM180=0,J180,0)</f>
        <v>0</v>
      </c>
      <c r="AJ180" s="26">
        <f aca="true" t="shared" si="178" ref="AJ180:AJ192">IF(AM180=15,J180,0)</f>
        <v>0</v>
      </c>
      <c r="AK180" s="26">
        <f aca="true" t="shared" si="179" ref="AK180:AK192">IF(AM180=21,J180,0)</f>
        <v>0</v>
      </c>
      <c r="AM180" s="27">
        <v>21</v>
      </c>
      <c r="AN180" s="27">
        <f>G180*0.0562189054726368</f>
        <v>0</v>
      </c>
      <c r="AO180" s="27">
        <f>G180*(1-0.0562189054726368)</f>
        <v>0</v>
      </c>
      <c r="AP180" s="28" t="s">
        <v>13</v>
      </c>
      <c r="AU180" s="27">
        <f aca="true" t="shared" si="180" ref="AU180:AU192">AV180+AW180</f>
        <v>0</v>
      </c>
      <c r="AV180" s="27">
        <f aca="true" t="shared" si="181" ref="AV180:AV192">F180*AN180</f>
        <v>0</v>
      </c>
      <c r="AW180" s="27">
        <f aca="true" t="shared" si="182" ref="AW180:AW192">F180*AO180</f>
        <v>0</v>
      </c>
      <c r="AX180" s="29" t="s">
        <v>787</v>
      </c>
      <c r="AY180" s="29" t="s">
        <v>794</v>
      </c>
      <c r="AZ180" s="17" t="s">
        <v>796</v>
      </c>
      <c r="BB180" s="27">
        <f aca="true" t="shared" si="183" ref="BB180:BB192">AV180+AW180</f>
        <v>0</v>
      </c>
      <c r="BC180" s="27">
        <f aca="true" t="shared" si="184" ref="BC180:BC192">G180/(100-BD180)*100</f>
        <v>0</v>
      </c>
      <c r="BD180" s="27">
        <v>0</v>
      </c>
      <c r="BE180" s="27">
        <f aca="true" t="shared" si="185" ref="BE180:BE192">L180</f>
        <v>6E-05</v>
      </c>
      <c r="BG180" s="26">
        <f aca="true" t="shared" si="186" ref="BG180:BG192">F180*AN180</f>
        <v>0</v>
      </c>
      <c r="BH180" s="26">
        <f aca="true" t="shared" si="187" ref="BH180:BH192">F180*AO180</f>
        <v>0</v>
      </c>
      <c r="BI180" s="26">
        <f aca="true" t="shared" si="188" ref="BI180:BI192">F180*G180</f>
        <v>0</v>
      </c>
    </row>
    <row r="181" spans="1:61" ht="12.75">
      <c r="A181" s="24" t="s">
        <v>156</v>
      </c>
      <c r="B181" s="25"/>
      <c r="C181" s="25" t="s">
        <v>405</v>
      </c>
      <c r="D181" s="25" t="s">
        <v>654</v>
      </c>
      <c r="E181" s="25" t="s">
        <v>750</v>
      </c>
      <c r="F181" s="26">
        <v>1</v>
      </c>
      <c r="G181" s="1">
        <v>0</v>
      </c>
      <c r="H181" s="26">
        <f t="shared" si="165"/>
        <v>0</v>
      </c>
      <c r="I181" s="26">
        <f t="shared" si="166"/>
        <v>0</v>
      </c>
      <c r="J181" s="26">
        <f t="shared" si="167"/>
        <v>0</v>
      </c>
      <c r="K181" s="26">
        <v>0.00022</v>
      </c>
      <c r="L181" s="26">
        <f t="shared" si="168"/>
        <v>0.00022</v>
      </c>
      <c r="Y181" s="27">
        <f t="shared" si="169"/>
        <v>0</v>
      </c>
      <c r="AA181" s="27">
        <f t="shared" si="170"/>
        <v>0</v>
      </c>
      <c r="AB181" s="27">
        <f t="shared" si="171"/>
        <v>0</v>
      </c>
      <c r="AC181" s="27">
        <f t="shared" si="172"/>
        <v>0</v>
      </c>
      <c r="AD181" s="27">
        <f t="shared" si="173"/>
        <v>0</v>
      </c>
      <c r="AE181" s="27">
        <f t="shared" si="174"/>
        <v>0</v>
      </c>
      <c r="AF181" s="27">
        <f t="shared" si="175"/>
        <v>0</v>
      </c>
      <c r="AG181" s="27">
        <f t="shared" si="176"/>
        <v>0</v>
      </c>
      <c r="AH181" s="17"/>
      <c r="AI181" s="26">
        <f t="shared" si="177"/>
        <v>0</v>
      </c>
      <c r="AJ181" s="26">
        <f t="shared" si="178"/>
        <v>0</v>
      </c>
      <c r="AK181" s="26">
        <f t="shared" si="179"/>
        <v>0</v>
      </c>
      <c r="AM181" s="27">
        <v>21</v>
      </c>
      <c r="AN181" s="27">
        <f>G181*0.563941018766756</f>
        <v>0</v>
      </c>
      <c r="AO181" s="27">
        <f>G181*(1-0.563941018766756)</f>
        <v>0</v>
      </c>
      <c r="AP181" s="28" t="s">
        <v>13</v>
      </c>
      <c r="AU181" s="27">
        <f t="shared" si="180"/>
        <v>0</v>
      </c>
      <c r="AV181" s="27">
        <f t="shared" si="181"/>
        <v>0</v>
      </c>
      <c r="AW181" s="27">
        <f t="shared" si="182"/>
        <v>0</v>
      </c>
      <c r="AX181" s="29" t="s">
        <v>787</v>
      </c>
      <c r="AY181" s="29" t="s">
        <v>794</v>
      </c>
      <c r="AZ181" s="17" t="s">
        <v>796</v>
      </c>
      <c r="BB181" s="27">
        <f t="shared" si="183"/>
        <v>0</v>
      </c>
      <c r="BC181" s="27">
        <f t="shared" si="184"/>
        <v>0</v>
      </c>
      <c r="BD181" s="27">
        <v>0</v>
      </c>
      <c r="BE181" s="27">
        <f t="shared" si="185"/>
        <v>0.00022</v>
      </c>
      <c r="BG181" s="26">
        <f t="shared" si="186"/>
        <v>0</v>
      </c>
      <c r="BH181" s="26">
        <f t="shared" si="187"/>
        <v>0</v>
      </c>
      <c r="BI181" s="26">
        <f t="shared" si="188"/>
        <v>0</v>
      </c>
    </row>
    <row r="182" spans="1:61" ht="12.75">
      <c r="A182" s="24" t="s">
        <v>157</v>
      </c>
      <c r="B182" s="25"/>
      <c r="C182" s="25" t="s">
        <v>406</v>
      </c>
      <c r="D182" s="25" t="s">
        <v>655</v>
      </c>
      <c r="E182" s="25" t="s">
        <v>750</v>
      </c>
      <c r="F182" s="26">
        <v>1</v>
      </c>
      <c r="G182" s="1">
        <v>0</v>
      </c>
      <c r="H182" s="26">
        <f t="shared" si="165"/>
        <v>0</v>
      </c>
      <c r="I182" s="26">
        <f t="shared" si="166"/>
        <v>0</v>
      </c>
      <c r="J182" s="26">
        <f t="shared" si="167"/>
        <v>0</v>
      </c>
      <c r="K182" s="26">
        <v>0.0002</v>
      </c>
      <c r="L182" s="26">
        <f t="shared" si="168"/>
        <v>0.0002</v>
      </c>
      <c r="Y182" s="27">
        <f t="shared" si="169"/>
        <v>0</v>
      </c>
      <c r="AA182" s="27">
        <f t="shared" si="170"/>
        <v>0</v>
      </c>
      <c r="AB182" s="27">
        <f t="shared" si="171"/>
        <v>0</v>
      </c>
      <c r="AC182" s="27">
        <f t="shared" si="172"/>
        <v>0</v>
      </c>
      <c r="AD182" s="27">
        <f t="shared" si="173"/>
        <v>0</v>
      </c>
      <c r="AE182" s="27">
        <f t="shared" si="174"/>
        <v>0</v>
      </c>
      <c r="AF182" s="27">
        <f t="shared" si="175"/>
        <v>0</v>
      </c>
      <c r="AG182" s="27">
        <f t="shared" si="176"/>
        <v>0</v>
      </c>
      <c r="AH182" s="17"/>
      <c r="AI182" s="26">
        <f t="shared" si="177"/>
        <v>0</v>
      </c>
      <c r="AJ182" s="26">
        <f t="shared" si="178"/>
        <v>0</v>
      </c>
      <c r="AK182" s="26">
        <f t="shared" si="179"/>
        <v>0</v>
      </c>
      <c r="AM182" s="27">
        <v>21</v>
      </c>
      <c r="AN182" s="27">
        <f>G182*0.608031496062992</f>
        <v>0</v>
      </c>
      <c r="AO182" s="27">
        <f>G182*(1-0.608031496062992)</f>
        <v>0</v>
      </c>
      <c r="AP182" s="28" t="s">
        <v>13</v>
      </c>
      <c r="AU182" s="27">
        <f t="shared" si="180"/>
        <v>0</v>
      </c>
      <c r="AV182" s="27">
        <f t="shared" si="181"/>
        <v>0</v>
      </c>
      <c r="AW182" s="27">
        <f t="shared" si="182"/>
        <v>0</v>
      </c>
      <c r="AX182" s="29" t="s">
        <v>787</v>
      </c>
      <c r="AY182" s="29" t="s">
        <v>794</v>
      </c>
      <c r="AZ182" s="17" t="s">
        <v>796</v>
      </c>
      <c r="BB182" s="27">
        <f t="shared" si="183"/>
        <v>0</v>
      </c>
      <c r="BC182" s="27">
        <f t="shared" si="184"/>
        <v>0</v>
      </c>
      <c r="BD182" s="27">
        <v>0</v>
      </c>
      <c r="BE182" s="27">
        <f t="shared" si="185"/>
        <v>0.0002</v>
      </c>
      <c r="BG182" s="26">
        <f t="shared" si="186"/>
        <v>0</v>
      </c>
      <c r="BH182" s="26">
        <f t="shared" si="187"/>
        <v>0</v>
      </c>
      <c r="BI182" s="26">
        <f t="shared" si="188"/>
        <v>0</v>
      </c>
    </row>
    <row r="183" spans="1:61" ht="12.75">
      <c r="A183" s="24" t="s">
        <v>158</v>
      </c>
      <c r="B183" s="25"/>
      <c r="C183" s="25" t="s">
        <v>407</v>
      </c>
      <c r="D183" s="25" t="s">
        <v>656</v>
      </c>
      <c r="E183" s="25" t="s">
        <v>750</v>
      </c>
      <c r="F183" s="26">
        <v>1</v>
      </c>
      <c r="G183" s="1">
        <v>0</v>
      </c>
      <c r="H183" s="26">
        <f t="shared" si="165"/>
        <v>0</v>
      </c>
      <c r="I183" s="26">
        <f t="shared" si="166"/>
        <v>0</v>
      </c>
      <c r="J183" s="26">
        <f t="shared" si="167"/>
        <v>0</v>
      </c>
      <c r="K183" s="26">
        <v>9E-05</v>
      </c>
      <c r="L183" s="26">
        <f t="shared" si="168"/>
        <v>9E-05</v>
      </c>
      <c r="Y183" s="27">
        <f t="shared" si="169"/>
        <v>0</v>
      </c>
      <c r="AA183" s="27">
        <f t="shared" si="170"/>
        <v>0</v>
      </c>
      <c r="AB183" s="27">
        <f t="shared" si="171"/>
        <v>0</v>
      </c>
      <c r="AC183" s="27">
        <f t="shared" si="172"/>
        <v>0</v>
      </c>
      <c r="AD183" s="27">
        <f t="shared" si="173"/>
        <v>0</v>
      </c>
      <c r="AE183" s="27">
        <f t="shared" si="174"/>
        <v>0</v>
      </c>
      <c r="AF183" s="27">
        <f t="shared" si="175"/>
        <v>0</v>
      </c>
      <c r="AG183" s="27">
        <f t="shared" si="176"/>
        <v>0</v>
      </c>
      <c r="AH183" s="17"/>
      <c r="AI183" s="26">
        <f t="shared" si="177"/>
        <v>0</v>
      </c>
      <c r="AJ183" s="26">
        <f t="shared" si="178"/>
        <v>0</v>
      </c>
      <c r="AK183" s="26">
        <f t="shared" si="179"/>
        <v>0</v>
      </c>
      <c r="AM183" s="27">
        <v>21</v>
      </c>
      <c r="AN183" s="27">
        <f>G183*0.370322580645161</f>
        <v>0</v>
      </c>
      <c r="AO183" s="27">
        <f>G183*(1-0.370322580645161)</f>
        <v>0</v>
      </c>
      <c r="AP183" s="28" t="s">
        <v>13</v>
      </c>
      <c r="AU183" s="27">
        <f t="shared" si="180"/>
        <v>0</v>
      </c>
      <c r="AV183" s="27">
        <f t="shared" si="181"/>
        <v>0</v>
      </c>
      <c r="AW183" s="27">
        <f t="shared" si="182"/>
        <v>0</v>
      </c>
      <c r="AX183" s="29" t="s">
        <v>787</v>
      </c>
      <c r="AY183" s="29" t="s">
        <v>794</v>
      </c>
      <c r="AZ183" s="17" t="s">
        <v>796</v>
      </c>
      <c r="BB183" s="27">
        <f t="shared" si="183"/>
        <v>0</v>
      </c>
      <c r="BC183" s="27">
        <f t="shared" si="184"/>
        <v>0</v>
      </c>
      <c r="BD183" s="27">
        <v>0</v>
      </c>
      <c r="BE183" s="27">
        <f t="shared" si="185"/>
        <v>9E-05</v>
      </c>
      <c r="BG183" s="26">
        <f t="shared" si="186"/>
        <v>0</v>
      </c>
      <c r="BH183" s="26">
        <f t="shared" si="187"/>
        <v>0</v>
      </c>
      <c r="BI183" s="26">
        <f t="shared" si="188"/>
        <v>0</v>
      </c>
    </row>
    <row r="184" spans="1:61" ht="12.75">
      <c r="A184" s="24" t="s">
        <v>159</v>
      </c>
      <c r="B184" s="25"/>
      <c r="C184" s="25" t="s">
        <v>408</v>
      </c>
      <c r="D184" s="25" t="s">
        <v>657</v>
      </c>
      <c r="E184" s="25" t="s">
        <v>750</v>
      </c>
      <c r="F184" s="26">
        <v>1</v>
      </c>
      <c r="G184" s="1">
        <v>0</v>
      </c>
      <c r="H184" s="26">
        <f t="shared" si="165"/>
        <v>0</v>
      </c>
      <c r="I184" s="26">
        <f t="shared" si="166"/>
        <v>0</v>
      </c>
      <c r="J184" s="26">
        <f t="shared" si="167"/>
        <v>0</v>
      </c>
      <c r="K184" s="26">
        <v>0.00016</v>
      </c>
      <c r="L184" s="26">
        <f t="shared" si="168"/>
        <v>0.00016</v>
      </c>
      <c r="Y184" s="27">
        <f t="shared" si="169"/>
        <v>0</v>
      </c>
      <c r="AA184" s="27">
        <f t="shared" si="170"/>
        <v>0</v>
      </c>
      <c r="AB184" s="27">
        <f t="shared" si="171"/>
        <v>0</v>
      </c>
      <c r="AC184" s="27">
        <f t="shared" si="172"/>
        <v>0</v>
      </c>
      <c r="AD184" s="27">
        <f t="shared" si="173"/>
        <v>0</v>
      </c>
      <c r="AE184" s="27">
        <f t="shared" si="174"/>
        <v>0</v>
      </c>
      <c r="AF184" s="27">
        <f t="shared" si="175"/>
        <v>0</v>
      </c>
      <c r="AG184" s="27">
        <f t="shared" si="176"/>
        <v>0</v>
      </c>
      <c r="AH184" s="17"/>
      <c r="AI184" s="26">
        <f t="shared" si="177"/>
        <v>0</v>
      </c>
      <c r="AJ184" s="26">
        <f t="shared" si="178"/>
        <v>0</v>
      </c>
      <c r="AK184" s="26">
        <f t="shared" si="179"/>
        <v>0</v>
      </c>
      <c r="AM184" s="27">
        <v>21</v>
      </c>
      <c r="AN184" s="27">
        <f>G184*0.239118825100133</f>
        <v>0</v>
      </c>
      <c r="AO184" s="27">
        <f>G184*(1-0.239118825100133)</f>
        <v>0</v>
      </c>
      <c r="AP184" s="28" t="s">
        <v>13</v>
      </c>
      <c r="AU184" s="27">
        <f t="shared" si="180"/>
        <v>0</v>
      </c>
      <c r="AV184" s="27">
        <f t="shared" si="181"/>
        <v>0</v>
      </c>
      <c r="AW184" s="27">
        <f t="shared" si="182"/>
        <v>0</v>
      </c>
      <c r="AX184" s="29" t="s">
        <v>787</v>
      </c>
      <c r="AY184" s="29" t="s">
        <v>794</v>
      </c>
      <c r="AZ184" s="17" t="s">
        <v>796</v>
      </c>
      <c r="BB184" s="27">
        <f t="shared" si="183"/>
        <v>0</v>
      </c>
      <c r="BC184" s="27">
        <f t="shared" si="184"/>
        <v>0</v>
      </c>
      <c r="BD184" s="27">
        <v>0</v>
      </c>
      <c r="BE184" s="27">
        <f t="shared" si="185"/>
        <v>0.00016</v>
      </c>
      <c r="BG184" s="26">
        <f t="shared" si="186"/>
        <v>0</v>
      </c>
      <c r="BH184" s="26">
        <f t="shared" si="187"/>
        <v>0</v>
      </c>
      <c r="BI184" s="26">
        <f t="shared" si="188"/>
        <v>0</v>
      </c>
    </row>
    <row r="185" spans="1:61" ht="12.75">
      <c r="A185" s="24" t="s">
        <v>160</v>
      </c>
      <c r="B185" s="25"/>
      <c r="C185" s="25" t="s">
        <v>409</v>
      </c>
      <c r="D185" s="25" t="s">
        <v>658</v>
      </c>
      <c r="E185" s="25" t="s">
        <v>750</v>
      </c>
      <c r="F185" s="26">
        <v>1</v>
      </c>
      <c r="G185" s="1">
        <v>0</v>
      </c>
      <c r="H185" s="26">
        <f t="shared" si="165"/>
        <v>0</v>
      </c>
      <c r="I185" s="26">
        <f t="shared" si="166"/>
        <v>0</v>
      </c>
      <c r="J185" s="26">
        <f t="shared" si="167"/>
        <v>0</v>
      </c>
      <c r="K185" s="26">
        <v>0.00015</v>
      </c>
      <c r="L185" s="26">
        <f t="shared" si="168"/>
        <v>0.00015</v>
      </c>
      <c r="Y185" s="27">
        <f t="shared" si="169"/>
        <v>0</v>
      </c>
      <c r="AA185" s="27">
        <f t="shared" si="170"/>
        <v>0</v>
      </c>
      <c r="AB185" s="27">
        <f t="shared" si="171"/>
        <v>0</v>
      </c>
      <c r="AC185" s="27">
        <f t="shared" si="172"/>
        <v>0</v>
      </c>
      <c r="AD185" s="27">
        <f t="shared" si="173"/>
        <v>0</v>
      </c>
      <c r="AE185" s="27">
        <f t="shared" si="174"/>
        <v>0</v>
      </c>
      <c r="AF185" s="27">
        <f t="shared" si="175"/>
        <v>0</v>
      </c>
      <c r="AG185" s="27">
        <f t="shared" si="176"/>
        <v>0</v>
      </c>
      <c r="AH185" s="17"/>
      <c r="AI185" s="26">
        <f t="shared" si="177"/>
        <v>0</v>
      </c>
      <c r="AJ185" s="26">
        <f t="shared" si="178"/>
        <v>0</v>
      </c>
      <c r="AK185" s="26">
        <f t="shared" si="179"/>
        <v>0</v>
      </c>
      <c r="AM185" s="27">
        <v>21</v>
      </c>
      <c r="AN185" s="27">
        <f>G185*0.321515693608717</f>
        <v>0</v>
      </c>
      <c r="AO185" s="27">
        <f>G185*(1-0.321515693608717)</f>
        <v>0</v>
      </c>
      <c r="AP185" s="28" t="s">
        <v>13</v>
      </c>
      <c r="AU185" s="27">
        <f t="shared" si="180"/>
        <v>0</v>
      </c>
      <c r="AV185" s="27">
        <f t="shared" si="181"/>
        <v>0</v>
      </c>
      <c r="AW185" s="27">
        <f t="shared" si="182"/>
        <v>0</v>
      </c>
      <c r="AX185" s="29" t="s">
        <v>787</v>
      </c>
      <c r="AY185" s="29" t="s">
        <v>794</v>
      </c>
      <c r="AZ185" s="17" t="s">
        <v>796</v>
      </c>
      <c r="BB185" s="27">
        <f t="shared" si="183"/>
        <v>0</v>
      </c>
      <c r="BC185" s="27">
        <f t="shared" si="184"/>
        <v>0</v>
      </c>
      <c r="BD185" s="27">
        <v>0</v>
      </c>
      <c r="BE185" s="27">
        <f t="shared" si="185"/>
        <v>0.00015</v>
      </c>
      <c r="BG185" s="26">
        <f t="shared" si="186"/>
        <v>0</v>
      </c>
      <c r="BH185" s="26">
        <f t="shared" si="187"/>
        <v>0</v>
      </c>
      <c r="BI185" s="26">
        <f t="shared" si="188"/>
        <v>0</v>
      </c>
    </row>
    <row r="186" spans="1:61" ht="12.75">
      <c r="A186" s="24" t="s">
        <v>161</v>
      </c>
      <c r="B186" s="25"/>
      <c r="C186" s="25" t="s">
        <v>410</v>
      </c>
      <c r="D186" s="25" t="s">
        <v>659</v>
      </c>
      <c r="E186" s="25" t="s">
        <v>750</v>
      </c>
      <c r="F186" s="26">
        <v>1</v>
      </c>
      <c r="G186" s="1">
        <v>0</v>
      </c>
      <c r="H186" s="26">
        <f t="shared" si="165"/>
        <v>0</v>
      </c>
      <c r="I186" s="26">
        <f t="shared" si="166"/>
        <v>0</v>
      </c>
      <c r="J186" s="26">
        <f t="shared" si="167"/>
        <v>0</v>
      </c>
      <c r="K186" s="26">
        <v>0.00019</v>
      </c>
      <c r="L186" s="26">
        <f t="shared" si="168"/>
        <v>0.00019</v>
      </c>
      <c r="Y186" s="27">
        <f t="shared" si="169"/>
        <v>0</v>
      </c>
      <c r="AA186" s="27">
        <f t="shared" si="170"/>
        <v>0</v>
      </c>
      <c r="AB186" s="27">
        <f t="shared" si="171"/>
        <v>0</v>
      </c>
      <c r="AC186" s="27">
        <f t="shared" si="172"/>
        <v>0</v>
      </c>
      <c r="AD186" s="27">
        <f t="shared" si="173"/>
        <v>0</v>
      </c>
      <c r="AE186" s="27">
        <f t="shared" si="174"/>
        <v>0</v>
      </c>
      <c r="AF186" s="27">
        <f t="shared" si="175"/>
        <v>0</v>
      </c>
      <c r="AG186" s="27">
        <f t="shared" si="176"/>
        <v>0</v>
      </c>
      <c r="AH186" s="17"/>
      <c r="AI186" s="26">
        <f t="shared" si="177"/>
        <v>0</v>
      </c>
      <c r="AJ186" s="26">
        <f t="shared" si="178"/>
        <v>0</v>
      </c>
      <c r="AK186" s="26">
        <f t="shared" si="179"/>
        <v>0</v>
      </c>
      <c r="AM186" s="27">
        <v>21</v>
      </c>
      <c r="AN186" s="27">
        <f>G186*0.385353003161222</f>
        <v>0</v>
      </c>
      <c r="AO186" s="27">
        <f>G186*(1-0.385353003161222)</f>
        <v>0</v>
      </c>
      <c r="AP186" s="28" t="s">
        <v>13</v>
      </c>
      <c r="AU186" s="27">
        <f t="shared" si="180"/>
        <v>0</v>
      </c>
      <c r="AV186" s="27">
        <f t="shared" si="181"/>
        <v>0</v>
      </c>
      <c r="AW186" s="27">
        <f t="shared" si="182"/>
        <v>0</v>
      </c>
      <c r="AX186" s="29" t="s">
        <v>787</v>
      </c>
      <c r="AY186" s="29" t="s">
        <v>794</v>
      </c>
      <c r="AZ186" s="17" t="s">
        <v>796</v>
      </c>
      <c r="BB186" s="27">
        <f t="shared" si="183"/>
        <v>0</v>
      </c>
      <c r="BC186" s="27">
        <f t="shared" si="184"/>
        <v>0</v>
      </c>
      <c r="BD186" s="27">
        <v>0</v>
      </c>
      <c r="BE186" s="27">
        <f t="shared" si="185"/>
        <v>0.00019</v>
      </c>
      <c r="BG186" s="26">
        <f t="shared" si="186"/>
        <v>0</v>
      </c>
      <c r="BH186" s="26">
        <f t="shared" si="187"/>
        <v>0</v>
      </c>
      <c r="BI186" s="26">
        <f t="shared" si="188"/>
        <v>0</v>
      </c>
    </row>
    <row r="187" spans="1:61" ht="12.75">
      <c r="A187" s="24" t="s">
        <v>162</v>
      </c>
      <c r="B187" s="25"/>
      <c r="C187" s="25" t="s">
        <v>411</v>
      </c>
      <c r="D187" s="25" t="s">
        <v>660</v>
      </c>
      <c r="E187" s="25" t="s">
        <v>750</v>
      </c>
      <c r="F187" s="26">
        <v>1</v>
      </c>
      <c r="G187" s="1">
        <v>0</v>
      </c>
      <c r="H187" s="26">
        <f t="shared" si="165"/>
        <v>0</v>
      </c>
      <c r="I187" s="26">
        <f t="shared" si="166"/>
        <v>0</v>
      </c>
      <c r="J187" s="26">
        <f t="shared" si="167"/>
        <v>0</v>
      </c>
      <c r="K187" s="26">
        <v>4E-05</v>
      </c>
      <c r="L187" s="26">
        <f t="shared" si="168"/>
        <v>4E-05</v>
      </c>
      <c r="Y187" s="27">
        <f t="shared" si="169"/>
        <v>0</v>
      </c>
      <c r="AA187" s="27">
        <f t="shared" si="170"/>
        <v>0</v>
      </c>
      <c r="AB187" s="27">
        <f t="shared" si="171"/>
        <v>0</v>
      </c>
      <c r="AC187" s="27">
        <f t="shared" si="172"/>
        <v>0</v>
      </c>
      <c r="AD187" s="27">
        <f t="shared" si="173"/>
        <v>0</v>
      </c>
      <c r="AE187" s="27">
        <f t="shared" si="174"/>
        <v>0</v>
      </c>
      <c r="AF187" s="27">
        <f t="shared" si="175"/>
        <v>0</v>
      </c>
      <c r="AG187" s="27">
        <f t="shared" si="176"/>
        <v>0</v>
      </c>
      <c r="AH187" s="17"/>
      <c r="AI187" s="26">
        <f t="shared" si="177"/>
        <v>0</v>
      </c>
      <c r="AJ187" s="26">
        <f t="shared" si="178"/>
        <v>0</v>
      </c>
      <c r="AK187" s="26">
        <f t="shared" si="179"/>
        <v>0</v>
      </c>
      <c r="AM187" s="27">
        <v>21</v>
      </c>
      <c r="AN187" s="27">
        <f>G187*0.117731958762887</f>
        <v>0</v>
      </c>
      <c r="AO187" s="27">
        <f>G187*(1-0.117731958762887)</f>
        <v>0</v>
      </c>
      <c r="AP187" s="28" t="s">
        <v>13</v>
      </c>
      <c r="AU187" s="27">
        <f t="shared" si="180"/>
        <v>0</v>
      </c>
      <c r="AV187" s="27">
        <f t="shared" si="181"/>
        <v>0</v>
      </c>
      <c r="AW187" s="27">
        <f t="shared" si="182"/>
        <v>0</v>
      </c>
      <c r="AX187" s="29" t="s">
        <v>787</v>
      </c>
      <c r="AY187" s="29" t="s">
        <v>794</v>
      </c>
      <c r="AZ187" s="17" t="s">
        <v>796</v>
      </c>
      <c r="BB187" s="27">
        <f t="shared" si="183"/>
        <v>0</v>
      </c>
      <c r="BC187" s="27">
        <f t="shared" si="184"/>
        <v>0</v>
      </c>
      <c r="BD187" s="27">
        <v>0</v>
      </c>
      <c r="BE187" s="27">
        <f t="shared" si="185"/>
        <v>4E-05</v>
      </c>
      <c r="BG187" s="26">
        <f t="shared" si="186"/>
        <v>0</v>
      </c>
      <c r="BH187" s="26">
        <f t="shared" si="187"/>
        <v>0</v>
      </c>
      <c r="BI187" s="26">
        <f t="shared" si="188"/>
        <v>0</v>
      </c>
    </row>
    <row r="188" spans="1:61" ht="12.75">
      <c r="A188" s="24" t="s">
        <v>163</v>
      </c>
      <c r="B188" s="25"/>
      <c r="C188" s="25" t="s">
        <v>412</v>
      </c>
      <c r="D188" s="25" t="s">
        <v>661</v>
      </c>
      <c r="E188" s="25" t="s">
        <v>750</v>
      </c>
      <c r="F188" s="26">
        <v>1</v>
      </c>
      <c r="G188" s="1">
        <v>0</v>
      </c>
      <c r="H188" s="26">
        <f t="shared" si="165"/>
        <v>0</v>
      </c>
      <c r="I188" s="26">
        <f t="shared" si="166"/>
        <v>0</v>
      </c>
      <c r="J188" s="26">
        <f t="shared" si="167"/>
        <v>0</v>
      </c>
      <c r="K188" s="26">
        <v>0.00018</v>
      </c>
      <c r="L188" s="26">
        <f t="shared" si="168"/>
        <v>0.00018</v>
      </c>
      <c r="Y188" s="27">
        <f t="shared" si="169"/>
        <v>0</v>
      </c>
      <c r="AA188" s="27">
        <f t="shared" si="170"/>
        <v>0</v>
      </c>
      <c r="AB188" s="27">
        <f t="shared" si="171"/>
        <v>0</v>
      </c>
      <c r="AC188" s="27">
        <f t="shared" si="172"/>
        <v>0</v>
      </c>
      <c r="AD188" s="27">
        <f t="shared" si="173"/>
        <v>0</v>
      </c>
      <c r="AE188" s="27">
        <f t="shared" si="174"/>
        <v>0</v>
      </c>
      <c r="AF188" s="27">
        <f t="shared" si="175"/>
        <v>0</v>
      </c>
      <c r="AG188" s="27">
        <f t="shared" si="176"/>
        <v>0</v>
      </c>
      <c r="AH188" s="17"/>
      <c r="AI188" s="26">
        <f t="shared" si="177"/>
        <v>0</v>
      </c>
      <c r="AJ188" s="26">
        <f t="shared" si="178"/>
        <v>0</v>
      </c>
      <c r="AK188" s="26">
        <f t="shared" si="179"/>
        <v>0</v>
      </c>
      <c r="AM188" s="27">
        <v>21</v>
      </c>
      <c r="AN188" s="27">
        <f>G188*0.178069306930693</f>
        <v>0</v>
      </c>
      <c r="AO188" s="27">
        <f>G188*(1-0.178069306930693)</f>
        <v>0</v>
      </c>
      <c r="AP188" s="28" t="s">
        <v>13</v>
      </c>
      <c r="AU188" s="27">
        <f t="shared" si="180"/>
        <v>0</v>
      </c>
      <c r="AV188" s="27">
        <f t="shared" si="181"/>
        <v>0</v>
      </c>
      <c r="AW188" s="27">
        <f t="shared" si="182"/>
        <v>0</v>
      </c>
      <c r="AX188" s="29" t="s">
        <v>787</v>
      </c>
      <c r="AY188" s="29" t="s">
        <v>794</v>
      </c>
      <c r="AZ188" s="17" t="s">
        <v>796</v>
      </c>
      <c r="BB188" s="27">
        <f t="shared" si="183"/>
        <v>0</v>
      </c>
      <c r="BC188" s="27">
        <f t="shared" si="184"/>
        <v>0</v>
      </c>
      <c r="BD188" s="27">
        <v>0</v>
      </c>
      <c r="BE188" s="27">
        <f t="shared" si="185"/>
        <v>0.00018</v>
      </c>
      <c r="BG188" s="26">
        <f t="shared" si="186"/>
        <v>0</v>
      </c>
      <c r="BH188" s="26">
        <f t="shared" si="187"/>
        <v>0</v>
      </c>
      <c r="BI188" s="26">
        <f t="shared" si="188"/>
        <v>0</v>
      </c>
    </row>
    <row r="189" spans="1:61" ht="12.75">
      <c r="A189" s="24" t="s">
        <v>164</v>
      </c>
      <c r="B189" s="25"/>
      <c r="C189" s="25" t="s">
        <v>413</v>
      </c>
      <c r="D189" s="25" t="s">
        <v>662</v>
      </c>
      <c r="E189" s="25" t="s">
        <v>750</v>
      </c>
      <c r="F189" s="26">
        <v>1</v>
      </c>
      <c r="G189" s="1">
        <v>0</v>
      </c>
      <c r="H189" s="26">
        <f t="shared" si="165"/>
        <v>0</v>
      </c>
      <c r="I189" s="26">
        <f t="shared" si="166"/>
        <v>0</v>
      </c>
      <c r="J189" s="26">
        <f t="shared" si="167"/>
        <v>0</v>
      </c>
      <c r="K189" s="26">
        <v>0.00032</v>
      </c>
      <c r="L189" s="26">
        <f t="shared" si="168"/>
        <v>0.00032</v>
      </c>
      <c r="Y189" s="27">
        <f t="shared" si="169"/>
        <v>0</v>
      </c>
      <c r="AA189" s="27">
        <f t="shared" si="170"/>
        <v>0</v>
      </c>
      <c r="AB189" s="27">
        <f t="shared" si="171"/>
        <v>0</v>
      </c>
      <c r="AC189" s="27">
        <f t="shared" si="172"/>
        <v>0</v>
      </c>
      <c r="AD189" s="27">
        <f t="shared" si="173"/>
        <v>0</v>
      </c>
      <c r="AE189" s="27">
        <f t="shared" si="174"/>
        <v>0</v>
      </c>
      <c r="AF189" s="27">
        <f t="shared" si="175"/>
        <v>0</v>
      </c>
      <c r="AG189" s="27">
        <f t="shared" si="176"/>
        <v>0</v>
      </c>
      <c r="AH189" s="17"/>
      <c r="AI189" s="26">
        <f t="shared" si="177"/>
        <v>0</v>
      </c>
      <c r="AJ189" s="26">
        <f t="shared" si="178"/>
        <v>0</v>
      </c>
      <c r="AK189" s="26">
        <f t="shared" si="179"/>
        <v>0</v>
      </c>
      <c r="AM189" s="27">
        <v>21</v>
      </c>
      <c r="AN189" s="27">
        <f>G189*0.181227168596372</f>
        <v>0</v>
      </c>
      <c r="AO189" s="27">
        <f>G189*(1-0.181227168596372)</f>
        <v>0</v>
      </c>
      <c r="AP189" s="28" t="s">
        <v>13</v>
      </c>
      <c r="AU189" s="27">
        <f t="shared" si="180"/>
        <v>0</v>
      </c>
      <c r="AV189" s="27">
        <f t="shared" si="181"/>
        <v>0</v>
      </c>
      <c r="AW189" s="27">
        <f t="shared" si="182"/>
        <v>0</v>
      </c>
      <c r="AX189" s="29" t="s">
        <v>787</v>
      </c>
      <c r="AY189" s="29" t="s">
        <v>794</v>
      </c>
      <c r="AZ189" s="17" t="s">
        <v>796</v>
      </c>
      <c r="BB189" s="27">
        <f t="shared" si="183"/>
        <v>0</v>
      </c>
      <c r="BC189" s="27">
        <f t="shared" si="184"/>
        <v>0</v>
      </c>
      <c r="BD189" s="27">
        <v>0</v>
      </c>
      <c r="BE189" s="27">
        <f t="shared" si="185"/>
        <v>0.00032</v>
      </c>
      <c r="BG189" s="26">
        <f t="shared" si="186"/>
        <v>0</v>
      </c>
      <c r="BH189" s="26">
        <f t="shared" si="187"/>
        <v>0</v>
      </c>
      <c r="BI189" s="26">
        <f t="shared" si="188"/>
        <v>0</v>
      </c>
    </row>
    <row r="190" spans="1:61" ht="12.75">
      <c r="A190" s="24" t="s">
        <v>165</v>
      </c>
      <c r="B190" s="25"/>
      <c r="C190" s="25" t="s">
        <v>414</v>
      </c>
      <c r="D190" s="25" t="s">
        <v>663</v>
      </c>
      <c r="E190" s="25" t="s">
        <v>750</v>
      </c>
      <c r="F190" s="26">
        <v>1</v>
      </c>
      <c r="G190" s="1">
        <v>0</v>
      </c>
      <c r="H190" s="26">
        <f t="shared" si="165"/>
        <v>0</v>
      </c>
      <c r="I190" s="26">
        <f t="shared" si="166"/>
        <v>0</v>
      </c>
      <c r="J190" s="26">
        <f t="shared" si="167"/>
        <v>0</v>
      </c>
      <c r="K190" s="26">
        <v>0.00021</v>
      </c>
      <c r="L190" s="26">
        <f t="shared" si="168"/>
        <v>0.00021</v>
      </c>
      <c r="Y190" s="27">
        <f t="shared" si="169"/>
        <v>0</v>
      </c>
      <c r="AA190" s="27">
        <f t="shared" si="170"/>
        <v>0</v>
      </c>
      <c r="AB190" s="27">
        <f t="shared" si="171"/>
        <v>0</v>
      </c>
      <c r="AC190" s="27">
        <f t="shared" si="172"/>
        <v>0</v>
      </c>
      <c r="AD190" s="27">
        <f t="shared" si="173"/>
        <v>0</v>
      </c>
      <c r="AE190" s="27">
        <f t="shared" si="174"/>
        <v>0</v>
      </c>
      <c r="AF190" s="27">
        <f t="shared" si="175"/>
        <v>0</v>
      </c>
      <c r="AG190" s="27">
        <f t="shared" si="176"/>
        <v>0</v>
      </c>
      <c r="AH190" s="17"/>
      <c r="AI190" s="26">
        <f t="shared" si="177"/>
        <v>0</v>
      </c>
      <c r="AJ190" s="26">
        <f t="shared" si="178"/>
        <v>0</v>
      </c>
      <c r="AK190" s="26">
        <f t="shared" si="179"/>
        <v>0</v>
      </c>
      <c r="AM190" s="27">
        <v>21</v>
      </c>
      <c r="AN190" s="27">
        <f>G190*0.186813186813187</f>
        <v>0</v>
      </c>
      <c r="AO190" s="27">
        <f>G190*(1-0.186813186813187)</f>
        <v>0</v>
      </c>
      <c r="AP190" s="28" t="s">
        <v>13</v>
      </c>
      <c r="AU190" s="27">
        <f t="shared" si="180"/>
        <v>0</v>
      </c>
      <c r="AV190" s="27">
        <f t="shared" si="181"/>
        <v>0</v>
      </c>
      <c r="AW190" s="27">
        <f t="shared" si="182"/>
        <v>0</v>
      </c>
      <c r="AX190" s="29" t="s">
        <v>787</v>
      </c>
      <c r="AY190" s="29" t="s">
        <v>794</v>
      </c>
      <c r="AZ190" s="17" t="s">
        <v>796</v>
      </c>
      <c r="BB190" s="27">
        <f t="shared" si="183"/>
        <v>0</v>
      </c>
      <c r="BC190" s="27">
        <f t="shared" si="184"/>
        <v>0</v>
      </c>
      <c r="BD190" s="27">
        <v>0</v>
      </c>
      <c r="BE190" s="27">
        <f t="shared" si="185"/>
        <v>0.00021</v>
      </c>
      <c r="BG190" s="26">
        <f t="shared" si="186"/>
        <v>0</v>
      </c>
      <c r="BH190" s="26">
        <f t="shared" si="187"/>
        <v>0</v>
      </c>
      <c r="BI190" s="26">
        <f t="shared" si="188"/>
        <v>0</v>
      </c>
    </row>
    <row r="191" spans="1:61" ht="12.75">
      <c r="A191" s="24" t="s">
        <v>166</v>
      </c>
      <c r="B191" s="25"/>
      <c r="C191" s="25" t="s">
        <v>415</v>
      </c>
      <c r="D191" s="25" t="s">
        <v>663</v>
      </c>
      <c r="E191" s="25" t="s">
        <v>750</v>
      </c>
      <c r="F191" s="26">
        <v>1</v>
      </c>
      <c r="G191" s="1">
        <v>0</v>
      </c>
      <c r="H191" s="26">
        <f t="shared" si="165"/>
        <v>0</v>
      </c>
      <c r="I191" s="26">
        <f t="shared" si="166"/>
        <v>0</v>
      </c>
      <c r="J191" s="26">
        <f t="shared" si="167"/>
        <v>0</v>
      </c>
      <c r="K191" s="26">
        <v>0.00047</v>
      </c>
      <c r="L191" s="26">
        <f t="shared" si="168"/>
        <v>0.00047</v>
      </c>
      <c r="Y191" s="27">
        <f t="shared" si="169"/>
        <v>0</v>
      </c>
      <c r="AA191" s="27">
        <f t="shared" si="170"/>
        <v>0</v>
      </c>
      <c r="AB191" s="27">
        <f t="shared" si="171"/>
        <v>0</v>
      </c>
      <c r="AC191" s="27">
        <f t="shared" si="172"/>
        <v>0</v>
      </c>
      <c r="AD191" s="27">
        <f t="shared" si="173"/>
        <v>0</v>
      </c>
      <c r="AE191" s="27">
        <f t="shared" si="174"/>
        <v>0</v>
      </c>
      <c r="AF191" s="27">
        <f t="shared" si="175"/>
        <v>0</v>
      </c>
      <c r="AG191" s="27">
        <f t="shared" si="176"/>
        <v>0</v>
      </c>
      <c r="AH191" s="17"/>
      <c r="AI191" s="26">
        <f t="shared" si="177"/>
        <v>0</v>
      </c>
      <c r="AJ191" s="26">
        <f t="shared" si="178"/>
        <v>0</v>
      </c>
      <c r="AK191" s="26">
        <f t="shared" si="179"/>
        <v>0</v>
      </c>
      <c r="AM191" s="27">
        <v>21</v>
      </c>
      <c r="AN191" s="27">
        <f>G191*0.211666666666667</f>
        <v>0</v>
      </c>
      <c r="AO191" s="27">
        <f>G191*(1-0.211666666666667)</f>
        <v>0</v>
      </c>
      <c r="AP191" s="28" t="s">
        <v>13</v>
      </c>
      <c r="AU191" s="27">
        <f t="shared" si="180"/>
        <v>0</v>
      </c>
      <c r="AV191" s="27">
        <f t="shared" si="181"/>
        <v>0</v>
      </c>
      <c r="AW191" s="27">
        <f t="shared" si="182"/>
        <v>0</v>
      </c>
      <c r="AX191" s="29" t="s">
        <v>787</v>
      </c>
      <c r="AY191" s="29" t="s">
        <v>794</v>
      </c>
      <c r="AZ191" s="17" t="s">
        <v>796</v>
      </c>
      <c r="BB191" s="27">
        <f t="shared" si="183"/>
        <v>0</v>
      </c>
      <c r="BC191" s="27">
        <f t="shared" si="184"/>
        <v>0</v>
      </c>
      <c r="BD191" s="27">
        <v>0</v>
      </c>
      <c r="BE191" s="27">
        <f t="shared" si="185"/>
        <v>0.00047</v>
      </c>
      <c r="BG191" s="26">
        <f t="shared" si="186"/>
        <v>0</v>
      </c>
      <c r="BH191" s="26">
        <f t="shared" si="187"/>
        <v>0</v>
      </c>
      <c r="BI191" s="26">
        <f t="shared" si="188"/>
        <v>0</v>
      </c>
    </row>
    <row r="192" spans="1:61" ht="12.75">
      <c r="A192" s="24" t="s">
        <v>167</v>
      </c>
      <c r="B192" s="25"/>
      <c r="C192" s="25" t="s">
        <v>416</v>
      </c>
      <c r="D192" s="25" t="s">
        <v>663</v>
      </c>
      <c r="E192" s="25" t="s">
        <v>750</v>
      </c>
      <c r="F192" s="26">
        <v>1</v>
      </c>
      <c r="G192" s="1">
        <v>0</v>
      </c>
      <c r="H192" s="26">
        <f t="shared" si="165"/>
        <v>0</v>
      </c>
      <c r="I192" s="26">
        <f t="shared" si="166"/>
        <v>0</v>
      </c>
      <c r="J192" s="26">
        <f t="shared" si="167"/>
        <v>0</v>
      </c>
      <c r="K192" s="26">
        <v>0.00062</v>
      </c>
      <c r="L192" s="26">
        <f t="shared" si="168"/>
        <v>0.00062</v>
      </c>
      <c r="Y192" s="27">
        <f t="shared" si="169"/>
        <v>0</v>
      </c>
      <c r="AA192" s="27">
        <f t="shared" si="170"/>
        <v>0</v>
      </c>
      <c r="AB192" s="27">
        <f t="shared" si="171"/>
        <v>0</v>
      </c>
      <c r="AC192" s="27">
        <f t="shared" si="172"/>
        <v>0</v>
      </c>
      <c r="AD192" s="27">
        <f t="shared" si="173"/>
        <v>0</v>
      </c>
      <c r="AE192" s="27">
        <f t="shared" si="174"/>
        <v>0</v>
      </c>
      <c r="AF192" s="27">
        <f t="shared" si="175"/>
        <v>0</v>
      </c>
      <c r="AG192" s="27">
        <f t="shared" si="176"/>
        <v>0</v>
      </c>
      <c r="AH192" s="17"/>
      <c r="AI192" s="26">
        <f t="shared" si="177"/>
        <v>0</v>
      </c>
      <c r="AJ192" s="26">
        <f t="shared" si="178"/>
        <v>0</v>
      </c>
      <c r="AK192" s="26">
        <f t="shared" si="179"/>
        <v>0</v>
      </c>
      <c r="AM192" s="27">
        <v>21</v>
      </c>
      <c r="AN192" s="27">
        <f>G192*0.209061148414538</f>
        <v>0</v>
      </c>
      <c r="AO192" s="27">
        <f>G192*(1-0.209061148414538)</f>
        <v>0</v>
      </c>
      <c r="AP192" s="28" t="s">
        <v>13</v>
      </c>
      <c r="AU192" s="27">
        <f t="shared" si="180"/>
        <v>0</v>
      </c>
      <c r="AV192" s="27">
        <f t="shared" si="181"/>
        <v>0</v>
      </c>
      <c r="AW192" s="27">
        <f t="shared" si="182"/>
        <v>0</v>
      </c>
      <c r="AX192" s="29" t="s">
        <v>787</v>
      </c>
      <c r="AY192" s="29" t="s">
        <v>794</v>
      </c>
      <c r="AZ192" s="17" t="s">
        <v>796</v>
      </c>
      <c r="BB192" s="27">
        <f t="shared" si="183"/>
        <v>0</v>
      </c>
      <c r="BC192" s="27">
        <f t="shared" si="184"/>
        <v>0</v>
      </c>
      <c r="BD192" s="27">
        <v>0</v>
      </c>
      <c r="BE192" s="27">
        <f t="shared" si="185"/>
        <v>0.00062</v>
      </c>
      <c r="BG192" s="26">
        <f t="shared" si="186"/>
        <v>0</v>
      </c>
      <c r="BH192" s="26">
        <f t="shared" si="187"/>
        <v>0</v>
      </c>
      <c r="BI192" s="26">
        <f t="shared" si="188"/>
        <v>0</v>
      </c>
    </row>
    <row r="193" spans="4:7" ht="12">
      <c r="D193" s="39" t="s">
        <v>664</v>
      </c>
      <c r="G193" s="26"/>
    </row>
    <row r="194" spans="1:61" ht="12.75">
      <c r="A194" s="24" t="s">
        <v>168</v>
      </c>
      <c r="B194" s="25"/>
      <c r="C194" s="25" t="s">
        <v>417</v>
      </c>
      <c r="D194" s="25" t="s">
        <v>665</v>
      </c>
      <c r="E194" s="25" t="s">
        <v>750</v>
      </c>
      <c r="F194" s="26">
        <v>1</v>
      </c>
      <c r="G194" s="1">
        <v>0</v>
      </c>
      <c r="H194" s="26">
        <f aca="true" t="shared" si="189" ref="H194:H240">F194*AN194</f>
        <v>0</v>
      </c>
      <c r="I194" s="26">
        <f aca="true" t="shared" si="190" ref="I194:I240">F194*AO194</f>
        <v>0</v>
      </c>
      <c r="J194" s="26">
        <f aca="true" t="shared" si="191" ref="J194:J240">F194*G194</f>
        <v>0</v>
      </c>
      <c r="K194" s="26">
        <v>0.00067</v>
      </c>
      <c r="L194" s="26">
        <f aca="true" t="shared" si="192" ref="L194:L240">F194*K194</f>
        <v>0.00067</v>
      </c>
      <c r="Y194" s="27">
        <f aca="true" t="shared" si="193" ref="Y194:Y240">IF(AP194="5",BI194,0)</f>
        <v>0</v>
      </c>
      <c r="AA194" s="27">
        <f aca="true" t="shared" si="194" ref="AA194:AA240">IF(AP194="1",BG194,0)</f>
        <v>0</v>
      </c>
      <c r="AB194" s="27">
        <f aca="true" t="shared" si="195" ref="AB194:AB240">IF(AP194="1",BH194,0)</f>
        <v>0</v>
      </c>
      <c r="AC194" s="27">
        <f aca="true" t="shared" si="196" ref="AC194:AC240">IF(AP194="7",BG194,0)</f>
        <v>0</v>
      </c>
      <c r="AD194" s="27">
        <f aca="true" t="shared" si="197" ref="AD194:AD240">IF(AP194="7",BH194,0)</f>
        <v>0</v>
      </c>
      <c r="AE194" s="27">
        <f aca="true" t="shared" si="198" ref="AE194:AE240">IF(AP194="2",BG194,0)</f>
        <v>0</v>
      </c>
      <c r="AF194" s="27">
        <f aca="true" t="shared" si="199" ref="AF194:AF240">IF(AP194="2",BH194,0)</f>
        <v>0</v>
      </c>
      <c r="AG194" s="27">
        <f aca="true" t="shared" si="200" ref="AG194:AG240">IF(AP194="0",BI194,0)</f>
        <v>0</v>
      </c>
      <c r="AH194" s="17"/>
      <c r="AI194" s="26">
        <f aca="true" t="shared" si="201" ref="AI194:AI240">IF(AM194=0,J194,0)</f>
        <v>0</v>
      </c>
      <c r="AJ194" s="26">
        <f aca="true" t="shared" si="202" ref="AJ194:AJ240">IF(AM194=15,J194,0)</f>
        <v>0</v>
      </c>
      <c r="AK194" s="26">
        <f aca="true" t="shared" si="203" ref="AK194:AK240">IF(AM194=21,J194,0)</f>
        <v>0</v>
      </c>
      <c r="AM194" s="27">
        <v>21</v>
      </c>
      <c r="AN194" s="27">
        <f>G194*0.24563614744352</f>
        <v>0</v>
      </c>
      <c r="AO194" s="27">
        <f>G194*(1-0.24563614744352)</f>
        <v>0</v>
      </c>
      <c r="AP194" s="28" t="s">
        <v>13</v>
      </c>
      <c r="AU194" s="27">
        <f aca="true" t="shared" si="204" ref="AU194:AU240">AV194+AW194</f>
        <v>0</v>
      </c>
      <c r="AV194" s="27">
        <f aca="true" t="shared" si="205" ref="AV194:AV240">F194*AN194</f>
        <v>0</v>
      </c>
      <c r="AW194" s="27">
        <f aca="true" t="shared" si="206" ref="AW194:AW240">F194*AO194</f>
        <v>0</v>
      </c>
      <c r="AX194" s="29" t="s">
        <v>787</v>
      </c>
      <c r="AY194" s="29" t="s">
        <v>794</v>
      </c>
      <c r="AZ194" s="17" t="s">
        <v>796</v>
      </c>
      <c r="BB194" s="27">
        <f aca="true" t="shared" si="207" ref="BB194:BB240">AV194+AW194</f>
        <v>0</v>
      </c>
      <c r="BC194" s="27">
        <f aca="true" t="shared" si="208" ref="BC194:BC240">G194/(100-BD194)*100</f>
        <v>0</v>
      </c>
      <c r="BD194" s="27">
        <v>0</v>
      </c>
      <c r="BE194" s="27">
        <f aca="true" t="shared" si="209" ref="BE194:BE240">L194</f>
        <v>0.00067</v>
      </c>
      <c r="BG194" s="26">
        <f aca="true" t="shared" si="210" ref="BG194:BG240">F194*AN194</f>
        <v>0</v>
      </c>
      <c r="BH194" s="26">
        <f aca="true" t="shared" si="211" ref="BH194:BH240">F194*AO194</f>
        <v>0</v>
      </c>
      <c r="BI194" s="26">
        <f aca="true" t="shared" si="212" ref="BI194:BI240">F194*G194</f>
        <v>0</v>
      </c>
    </row>
    <row r="195" spans="1:61" ht="12.75">
      <c r="A195" s="24" t="s">
        <v>169</v>
      </c>
      <c r="B195" s="25"/>
      <c r="C195" s="25" t="s">
        <v>418</v>
      </c>
      <c r="D195" s="25" t="s">
        <v>666</v>
      </c>
      <c r="E195" s="25" t="s">
        <v>750</v>
      </c>
      <c r="F195" s="26">
        <v>1</v>
      </c>
      <c r="G195" s="1">
        <v>0</v>
      </c>
      <c r="H195" s="26">
        <f t="shared" si="189"/>
        <v>0</v>
      </c>
      <c r="I195" s="26">
        <f t="shared" si="190"/>
        <v>0</v>
      </c>
      <c r="J195" s="26">
        <f t="shared" si="191"/>
        <v>0</v>
      </c>
      <c r="K195" s="26">
        <v>0.00054</v>
      </c>
      <c r="L195" s="26">
        <f t="shared" si="192"/>
        <v>0.00054</v>
      </c>
      <c r="Y195" s="27">
        <f t="shared" si="193"/>
        <v>0</v>
      </c>
      <c r="AA195" s="27">
        <f t="shared" si="194"/>
        <v>0</v>
      </c>
      <c r="AB195" s="27">
        <f t="shared" si="195"/>
        <v>0</v>
      </c>
      <c r="AC195" s="27">
        <f t="shared" si="196"/>
        <v>0</v>
      </c>
      <c r="AD195" s="27">
        <f t="shared" si="197"/>
        <v>0</v>
      </c>
      <c r="AE195" s="27">
        <f t="shared" si="198"/>
        <v>0</v>
      </c>
      <c r="AF195" s="27">
        <f t="shared" si="199"/>
        <v>0</v>
      </c>
      <c r="AG195" s="27">
        <f t="shared" si="200"/>
        <v>0</v>
      </c>
      <c r="AH195" s="17"/>
      <c r="AI195" s="26">
        <f t="shared" si="201"/>
        <v>0</v>
      </c>
      <c r="AJ195" s="26">
        <f t="shared" si="202"/>
        <v>0</v>
      </c>
      <c r="AK195" s="26">
        <f t="shared" si="203"/>
        <v>0</v>
      </c>
      <c r="AM195" s="27">
        <v>21</v>
      </c>
      <c r="AN195" s="27">
        <f>G195*0.21150745382026</f>
        <v>0</v>
      </c>
      <c r="AO195" s="27">
        <f>G195*(1-0.21150745382026)</f>
        <v>0</v>
      </c>
      <c r="AP195" s="28" t="s">
        <v>13</v>
      </c>
      <c r="AU195" s="27">
        <f t="shared" si="204"/>
        <v>0</v>
      </c>
      <c r="AV195" s="27">
        <f t="shared" si="205"/>
        <v>0</v>
      </c>
      <c r="AW195" s="27">
        <f t="shared" si="206"/>
        <v>0</v>
      </c>
      <c r="AX195" s="29" t="s">
        <v>787</v>
      </c>
      <c r="AY195" s="29" t="s">
        <v>794</v>
      </c>
      <c r="AZ195" s="17" t="s">
        <v>796</v>
      </c>
      <c r="BB195" s="27">
        <f t="shared" si="207"/>
        <v>0</v>
      </c>
      <c r="BC195" s="27">
        <f t="shared" si="208"/>
        <v>0</v>
      </c>
      <c r="BD195" s="27">
        <v>0</v>
      </c>
      <c r="BE195" s="27">
        <f t="shared" si="209"/>
        <v>0.00054</v>
      </c>
      <c r="BG195" s="26">
        <f t="shared" si="210"/>
        <v>0</v>
      </c>
      <c r="BH195" s="26">
        <f t="shared" si="211"/>
        <v>0</v>
      </c>
      <c r="BI195" s="26">
        <f t="shared" si="212"/>
        <v>0</v>
      </c>
    </row>
    <row r="196" spans="1:61" ht="12.75">
      <c r="A196" s="24" t="s">
        <v>170</v>
      </c>
      <c r="B196" s="25"/>
      <c r="C196" s="25" t="s">
        <v>419</v>
      </c>
      <c r="D196" s="25" t="s">
        <v>667</v>
      </c>
      <c r="E196" s="25" t="s">
        <v>750</v>
      </c>
      <c r="F196" s="26">
        <v>1</v>
      </c>
      <c r="G196" s="1">
        <v>0</v>
      </c>
      <c r="H196" s="26">
        <f t="shared" si="189"/>
        <v>0</v>
      </c>
      <c r="I196" s="26">
        <f t="shared" si="190"/>
        <v>0</v>
      </c>
      <c r="J196" s="26">
        <f t="shared" si="191"/>
        <v>0</v>
      </c>
      <c r="K196" s="26">
        <v>0.00062</v>
      </c>
      <c r="L196" s="26">
        <f t="shared" si="192"/>
        <v>0.00062</v>
      </c>
      <c r="Y196" s="27">
        <f t="shared" si="193"/>
        <v>0</v>
      </c>
      <c r="AA196" s="27">
        <f t="shared" si="194"/>
        <v>0</v>
      </c>
      <c r="AB196" s="27">
        <f t="shared" si="195"/>
        <v>0</v>
      </c>
      <c r="AC196" s="27">
        <f t="shared" si="196"/>
        <v>0</v>
      </c>
      <c r="AD196" s="27">
        <f t="shared" si="197"/>
        <v>0</v>
      </c>
      <c r="AE196" s="27">
        <f t="shared" si="198"/>
        <v>0</v>
      </c>
      <c r="AF196" s="27">
        <f t="shared" si="199"/>
        <v>0</v>
      </c>
      <c r="AG196" s="27">
        <f t="shared" si="200"/>
        <v>0</v>
      </c>
      <c r="AH196" s="17"/>
      <c r="AI196" s="26">
        <f t="shared" si="201"/>
        <v>0</v>
      </c>
      <c r="AJ196" s="26">
        <f t="shared" si="202"/>
        <v>0</v>
      </c>
      <c r="AK196" s="26">
        <f t="shared" si="203"/>
        <v>0</v>
      </c>
      <c r="AM196" s="27">
        <v>21</v>
      </c>
      <c r="AN196" s="27">
        <f>G196*0.209061148414538</f>
        <v>0</v>
      </c>
      <c r="AO196" s="27">
        <f>G196*(1-0.209061148414538)</f>
        <v>0</v>
      </c>
      <c r="AP196" s="28" t="s">
        <v>13</v>
      </c>
      <c r="AU196" s="27">
        <f t="shared" si="204"/>
        <v>0</v>
      </c>
      <c r="AV196" s="27">
        <f t="shared" si="205"/>
        <v>0</v>
      </c>
      <c r="AW196" s="27">
        <f t="shared" si="206"/>
        <v>0</v>
      </c>
      <c r="AX196" s="29" t="s">
        <v>787</v>
      </c>
      <c r="AY196" s="29" t="s">
        <v>794</v>
      </c>
      <c r="AZ196" s="17" t="s">
        <v>796</v>
      </c>
      <c r="BB196" s="27">
        <f t="shared" si="207"/>
        <v>0</v>
      </c>
      <c r="BC196" s="27">
        <f t="shared" si="208"/>
        <v>0</v>
      </c>
      <c r="BD196" s="27">
        <v>0</v>
      </c>
      <c r="BE196" s="27">
        <f t="shared" si="209"/>
        <v>0.00062</v>
      </c>
      <c r="BG196" s="26">
        <f t="shared" si="210"/>
        <v>0</v>
      </c>
      <c r="BH196" s="26">
        <f t="shared" si="211"/>
        <v>0</v>
      </c>
      <c r="BI196" s="26">
        <f t="shared" si="212"/>
        <v>0</v>
      </c>
    </row>
    <row r="197" spans="1:61" ht="12.75">
      <c r="A197" s="24" t="s">
        <v>171</v>
      </c>
      <c r="B197" s="25"/>
      <c r="C197" s="25" t="s">
        <v>420</v>
      </c>
      <c r="D197" s="25" t="s">
        <v>668</v>
      </c>
      <c r="E197" s="25" t="s">
        <v>750</v>
      </c>
      <c r="F197" s="26">
        <v>1</v>
      </c>
      <c r="G197" s="1">
        <v>0</v>
      </c>
      <c r="H197" s="26">
        <f t="shared" si="189"/>
        <v>0</v>
      </c>
      <c r="I197" s="26">
        <f t="shared" si="190"/>
        <v>0</v>
      </c>
      <c r="J197" s="26">
        <f t="shared" si="191"/>
        <v>0</v>
      </c>
      <c r="K197" s="26">
        <v>0.00022</v>
      </c>
      <c r="L197" s="26">
        <f t="shared" si="192"/>
        <v>0.00022</v>
      </c>
      <c r="Y197" s="27">
        <f t="shared" si="193"/>
        <v>0</v>
      </c>
      <c r="AA197" s="27">
        <f t="shared" si="194"/>
        <v>0</v>
      </c>
      <c r="AB197" s="27">
        <f t="shared" si="195"/>
        <v>0</v>
      </c>
      <c r="AC197" s="27">
        <f t="shared" si="196"/>
        <v>0</v>
      </c>
      <c r="AD197" s="27">
        <f t="shared" si="197"/>
        <v>0</v>
      </c>
      <c r="AE197" s="27">
        <f t="shared" si="198"/>
        <v>0</v>
      </c>
      <c r="AF197" s="27">
        <f t="shared" si="199"/>
        <v>0</v>
      </c>
      <c r="AG197" s="27">
        <f t="shared" si="200"/>
        <v>0</v>
      </c>
      <c r="AH197" s="17"/>
      <c r="AI197" s="26">
        <f t="shared" si="201"/>
        <v>0</v>
      </c>
      <c r="AJ197" s="26">
        <f t="shared" si="202"/>
        <v>0</v>
      </c>
      <c r="AK197" s="26">
        <f t="shared" si="203"/>
        <v>0</v>
      </c>
      <c r="AM197" s="27">
        <v>21</v>
      </c>
      <c r="AN197" s="27">
        <f>G197*0.223854613392213</f>
        <v>0</v>
      </c>
      <c r="AO197" s="27">
        <f>G197*(1-0.223854613392213)</f>
        <v>0</v>
      </c>
      <c r="AP197" s="28" t="s">
        <v>13</v>
      </c>
      <c r="AU197" s="27">
        <f t="shared" si="204"/>
        <v>0</v>
      </c>
      <c r="AV197" s="27">
        <f t="shared" si="205"/>
        <v>0</v>
      </c>
      <c r="AW197" s="27">
        <f t="shared" si="206"/>
        <v>0</v>
      </c>
      <c r="AX197" s="29" t="s">
        <v>787</v>
      </c>
      <c r="AY197" s="29" t="s">
        <v>794</v>
      </c>
      <c r="AZ197" s="17" t="s">
        <v>796</v>
      </c>
      <c r="BB197" s="27">
        <f t="shared" si="207"/>
        <v>0</v>
      </c>
      <c r="BC197" s="27">
        <f t="shared" si="208"/>
        <v>0</v>
      </c>
      <c r="BD197" s="27">
        <v>0</v>
      </c>
      <c r="BE197" s="27">
        <f t="shared" si="209"/>
        <v>0.00022</v>
      </c>
      <c r="BG197" s="26">
        <f t="shared" si="210"/>
        <v>0</v>
      </c>
      <c r="BH197" s="26">
        <f t="shared" si="211"/>
        <v>0</v>
      </c>
      <c r="BI197" s="26">
        <f t="shared" si="212"/>
        <v>0</v>
      </c>
    </row>
    <row r="198" spans="1:61" ht="12.75">
      <c r="A198" s="24" t="s">
        <v>172</v>
      </c>
      <c r="B198" s="25"/>
      <c r="C198" s="25" t="s">
        <v>421</v>
      </c>
      <c r="D198" s="25" t="s">
        <v>669</v>
      </c>
      <c r="E198" s="25" t="s">
        <v>750</v>
      </c>
      <c r="F198" s="26">
        <v>1</v>
      </c>
      <c r="G198" s="1">
        <v>0</v>
      </c>
      <c r="H198" s="26">
        <f t="shared" si="189"/>
        <v>0</v>
      </c>
      <c r="I198" s="26">
        <f t="shared" si="190"/>
        <v>0</v>
      </c>
      <c r="J198" s="26">
        <f t="shared" si="191"/>
        <v>0</v>
      </c>
      <c r="K198" s="26">
        <v>0.00031</v>
      </c>
      <c r="L198" s="26">
        <f t="shared" si="192"/>
        <v>0.00031</v>
      </c>
      <c r="Y198" s="27">
        <f t="shared" si="193"/>
        <v>0</v>
      </c>
      <c r="AA198" s="27">
        <f t="shared" si="194"/>
        <v>0</v>
      </c>
      <c r="AB198" s="27">
        <f t="shared" si="195"/>
        <v>0</v>
      </c>
      <c r="AC198" s="27">
        <f t="shared" si="196"/>
        <v>0</v>
      </c>
      <c r="AD198" s="27">
        <f t="shared" si="197"/>
        <v>0</v>
      </c>
      <c r="AE198" s="27">
        <f t="shared" si="198"/>
        <v>0</v>
      </c>
      <c r="AF198" s="27">
        <f t="shared" si="199"/>
        <v>0</v>
      </c>
      <c r="AG198" s="27">
        <f t="shared" si="200"/>
        <v>0</v>
      </c>
      <c r="AH198" s="17"/>
      <c r="AI198" s="26">
        <f t="shared" si="201"/>
        <v>0</v>
      </c>
      <c r="AJ198" s="26">
        <f t="shared" si="202"/>
        <v>0</v>
      </c>
      <c r="AK198" s="26">
        <f t="shared" si="203"/>
        <v>0</v>
      </c>
      <c r="AM198" s="27">
        <v>21</v>
      </c>
      <c r="AN198" s="27">
        <f>G198*0.105912626469384</f>
        <v>0</v>
      </c>
      <c r="AO198" s="27">
        <f>G198*(1-0.105912626469384)</f>
        <v>0</v>
      </c>
      <c r="AP198" s="28" t="s">
        <v>13</v>
      </c>
      <c r="AU198" s="27">
        <f t="shared" si="204"/>
        <v>0</v>
      </c>
      <c r="AV198" s="27">
        <f t="shared" si="205"/>
        <v>0</v>
      </c>
      <c r="AW198" s="27">
        <f t="shared" si="206"/>
        <v>0</v>
      </c>
      <c r="AX198" s="29" t="s">
        <v>787</v>
      </c>
      <c r="AY198" s="29" t="s">
        <v>794</v>
      </c>
      <c r="AZ198" s="17" t="s">
        <v>796</v>
      </c>
      <c r="BB198" s="27">
        <f t="shared" si="207"/>
        <v>0</v>
      </c>
      <c r="BC198" s="27">
        <f t="shared" si="208"/>
        <v>0</v>
      </c>
      <c r="BD198" s="27">
        <v>0</v>
      </c>
      <c r="BE198" s="27">
        <f t="shared" si="209"/>
        <v>0.00031</v>
      </c>
      <c r="BG198" s="26">
        <f t="shared" si="210"/>
        <v>0</v>
      </c>
      <c r="BH198" s="26">
        <f t="shared" si="211"/>
        <v>0</v>
      </c>
      <c r="BI198" s="26">
        <f t="shared" si="212"/>
        <v>0</v>
      </c>
    </row>
    <row r="199" spans="1:61" ht="12.75">
      <c r="A199" s="24" t="s">
        <v>173</v>
      </c>
      <c r="B199" s="25"/>
      <c r="C199" s="25" t="s">
        <v>422</v>
      </c>
      <c r="D199" s="25" t="s">
        <v>670</v>
      </c>
      <c r="E199" s="25" t="s">
        <v>750</v>
      </c>
      <c r="F199" s="26">
        <v>1</v>
      </c>
      <c r="G199" s="1">
        <v>0</v>
      </c>
      <c r="H199" s="26">
        <f t="shared" si="189"/>
        <v>0</v>
      </c>
      <c r="I199" s="26">
        <f t="shared" si="190"/>
        <v>0</v>
      </c>
      <c r="J199" s="26">
        <f t="shared" si="191"/>
        <v>0</v>
      </c>
      <c r="K199" s="26">
        <v>1E-05</v>
      </c>
      <c r="L199" s="26">
        <f t="shared" si="192"/>
        <v>1E-05</v>
      </c>
      <c r="Y199" s="27">
        <f t="shared" si="193"/>
        <v>0</v>
      </c>
      <c r="AA199" s="27">
        <f t="shared" si="194"/>
        <v>0</v>
      </c>
      <c r="AB199" s="27">
        <f t="shared" si="195"/>
        <v>0</v>
      </c>
      <c r="AC199" s="27">
        <f t="shared" si="196"/>
        <v>0</v>
      </c>
      <c r="AD199" s="27">
        <f t="shared" si="197"/>
        <v>0</v>
      </c>
      <c r="AE199" s="27">
        <f t="shared" si="198"/>
        <v>0</v>
      </c>
      <c r="AF199" s="27">
        <f t="shared" si="199"/>
        <v>0</v>
      </c>
      <c r="AG199" s="27">
        <f t="shared" si="200"/>
        <v>0</v>
      </c>
      <c r="AH199" s="17"/>
      <c r="AI199" s="26">
        <f t="shared" si="201"/>
        <v>0</v>
      </c>
      <c r="AJ199" s="26">
        <f t="shared" si="202"/>
        <v>0</v>
      </c>
      <c r="AK199" s="26">
        <f t="shared" si="203"/>
        <v>0</v>
      </c>
      <c r="AM199" s="27">
        <v>21</v>
      </c>
      <c r="AN199" s="27">
        <f>G199*0.0276631885464693</f>
        <v>0</v>
      </c>
      <c r="AO199" s="27">
        <f>G199*(1-0.0276631885464693)</f>
        <v>0</v>
      </c>
      <c r="AP199" s="28" t="s">
        <v>13</v>
      </c>
      <c r="AU199" s="27">
        <f t="shared" si="204"/>
        <v>0</v>
      </c>
      <c r="AV199" s="27">
        <f t="shared" si="205"/>
        <v>0</v>
      </c>
      <c r="AW199" s="27">
        <f t="shared" si="206"/>
        <v>0</v>
      </c>
      <c r="AX199" s="29" t="s">
        <v>787</v>
      </c>
      <c r="AY199" s="29" t="s">
        <v>794</v>
      </c>
      <c r="AZ199" s="17" t="s">
        <v>796</v>
      </c>
      <c r="BB199" s="27">
        <f t="shared" si="207"/>
        <v>0</v>
      </c>
      <c r="BC199" s="27">
        <f t="shared" si="208"/>
        <v>0</v>
      </c>
      <c r="BD199" s="27">
        <v>0</v>
      </c>
      <c r="BE199" s="27">
        <f t="shared" si="209"/>
        <v>1E-05</v>
      </c>
      <c r="BG199" s="26">
        <f t="shared" si="210"/>
        <v>0</v>
      </c>
      <c r="BH199" s="26">
        <f t="shared" si="211"/>
        <v>0</v>
      </c>
      <c r="BI199" s="26">
        <f t="shared" si="212"/>
        <v>0</v>
      </c>
    </row>
    <row r="200" spans="1:61" ht="12.75">
      <c r="A200" s="24" t="s">
        <v>174</v>
      </c>
      <c r="B200" s="25"/>
      <c r="C200" s="25" t="s">
        <v>423</v>
      </c>
      <c r="D200" s="25" t="s">
        <v>671</v>
      </c>
      <c r="E200" s="25" t="s">
        <v>750</v>
      </c>
      <c r="F200" s="26">
        <v>1</v>
      </c>
      <c r="G200" s="1">
        <v>0</v>
      </c>
      <c r="H200" s="26">
        <f t="shared" si="189"/>
        <v>0</v>
      </c>
      <c r="I200" s="26">
        <f t="shared" si="190"/>
        <v>0</v>
      </c>
      <c r="J200" s="26">
        <f t="shared" si="191"/>
        <v>0</v>
      </c>
      <c r="K200" s="26">
        <v>7E-05</v>
      </c>
      <c r="L200" s="26">
        <f t="shared" si="192"/>
        <v>7E-05</v>
      </c>
      <c r="Y200" s="27">
        <f t="shared" si="193"/>
        <v>0</v>
      </c>
      <c r="AA200" s="27">
        <f t="shared" si="194"/>
        <v>0</v>
      </c>
      <c r="AB200" s="27">
        <f t="shared" si="195"/>
        <v>0</v>
      </c>
      <c r="AC200" s="27">
        <f t="shared" si="196"/>
        <v>0</v>
      </c>
      <c r="AD200" s="27">
        <f t="shared" si="197"/>
        <v>0</v>
      </c>
      <c r="AE200" s="27">
        <f t="shared" si="198"/>
        <v>0</v>
      </c>
      <c r="AF200" s="27">
        <f t="shared" si="199"/>
        <v>0</v>
      </c>
      <c r="AG200" s="27">
        <f t="shared" si="200"/>
        <v>0</v>
      </c>
      <c r="AH200" s="17"/>
      <c r="AI200" s="26">
        <f t="shared" si="201"/>
        <v>0</v>
      </c>
      <c r="AJ200" s="26">
        <f t="shared" si="202"/>
        <v>0</v>
      </c>
      <c r="AK200" s="26">
        <f t="shared" si="203"/>
        <v>0</v>
      </c>
      <c r="AM200" s="27">
        <v>21</v>
      </c>
      <c r="AN200" s="27">
        <f>G200*0.0694300518134715</f>
        <v>0</v>
      </c>
      <c r="AO200" s="27">
        <f>G200*(1-0.0694300518134715)</f>
        <v>0</v>
      </c>
      <c r="AP200" s="28" t="s">
        <v>13</v>
      </c>
      <c r="AU200" s="27">
        <f t="shared" si="204"/>
        <v>0</v>
      </c>
      <c r="AV200" s="27">
        <f t="shared" si="205"/>
        <v>0</v>
      </c>
      <c r="AW200" s="27">
        <f t="shared" si="206"/>
        <v>0</v>
      </c>
      <c r="AX200" s="29" t="s">
        <v>787</v>
      </c>
      <c r="AY200" s="29" t="s">
        <v>794</v>
      </c>
      <c r="AZ200" s="17" t="s">
        <v>796</v>
      </c>
      <c r="BB200" s="27">
        <f t="shared" si="207"/>
        <v>0</v>
      </c>
      <c r="BC200" s="27">
        <f t="shared" si="208"/>
        <v>0</v>
      </c>
      <c r="BD200" s="27">
        <v>0</v>
      </c>
      <c r="BE200" s="27">
        <f t="shared" si="209"/>
        <v>7E-05</v>
      </c>
      <c r="BG200" s="26">
        <f t="shared" si="210"/>
        <v>0</v>
      </c>
      <c r="BH200" s="26">
        <f t="shared" si="211"/>
        <v>0</v>
      </c>
      <c r="BI200" s="26">
        <f t="shared" si="212"/>
        <v>0</v>
      </c>
    </row>
    <row r="201" spans="1:61" ht="12.75">
      <c r="A201" s="24" t="s">
        <v>175</v>
      </c>
      <c r="B201" s="25"/>
      <c r="C201" s="25" t="s">
        <v>424</v>
      </c>
      <c r="D201" s="25" t="s">
        <v>672</v>
      </c>
      <c r="E201" s="25" t="s">
        <v>750</v>
      </c>
      <c r="F201" s="26">
        <v>1</v>
      </c>
      <c r="G201" s="1">
        <v>0</v>
      </c>
      <c r="H201" s="26">
        <f t="shared" si="189"/>
        <v>0</v>
      </c>
      <c r="I201" s="26">
        <f t="shared" si="190"/>
        <v>0</v>
      </c>
      <c r="J201" s="26">
        <f t="shared" si="191"/>
        <v>0</v>
      </c>
      <c r="K201" s="26">
        <v>0.00063</v>
      </c>
      <c r="L201" s="26">
        <f t="shared" si="192"/>
        <v>0.00063</v>
      </c>
      <c r="Y201" s="27">
        <f t="shared" si="193"/>
        <v>0</v>
      </c>
      <c r="AA201" s="27">
        <f t="shared" si="194"/>
        <v>0</v>
      </c>
      <c r="AB201" s="27">
        <f t="shared" si="195"/>
        <v>0</v>
      </c>
      <c r="AC201" s="27">
        <f t="shared" si="196"/>
        <v>0</v>
      </c>
      <c r="AD201" s="27">
        <f t="shared" si="197"/>
        <v>0</v>
      </c>
      <c r="AE201" s="27">
        <f t="shared" si="198"/>
        <v>0</v>
      </c>
      <c r="AF201" s="27">
        <f t="shared" si="199"/>
        <v>0</v>
      </c>
      <c r="AG201" s="27">
        <f t="shared" si="200"/>
        <v>0</v>
      </c>
      <c r="AH201" s="17"/>
      <c r="AI201" s="26">
        <f t="shared" si="201"/>
        <v>0</v>
      </c>
      <c r="AJ201" s="26">
        <f t="shared" si="202"/>
        <v>0</v>
      </c>
      <c r="AK201" s="26">
        <f t="shared" si="203"/>
        <v>0</v>
      </c>
      <c r="AM201" s="27">
        <v>21</v>
      </c>
      <c r="AN201" s="27">
        <f>G201*0.171919366501473</f>
        <v>0</v>
      </c>
      <c r="AO201" s="27">
        <f>G201*(1-0.171919366501473)</f>
        <v>0</v>
      </c>
      <c r="AP201" s="28" t="s">
        <v>13</v>
      </c>
      <c r="AU201" s="27">
        <f t="shared" si="204"/>
        <v>0</v>
      </c>
      <c r="AV201" s="27">
        <f t="shared" si="205"/>
        <v>0</v>
      </c>
      <c r="AW201" s="27">
        <f t="shared" si="206"/>
        <v>0</v>
      </c>
      <c r="AX201" s="29" t="s">
        <v>787</v>
      </c>
      <c r="AY201" s="29" t="s">
        <v>794</v>
      </c>
      <c r="AZ201" s="17" t="s">
        <v>796</v>
      </c>
      <c r="BB201" s="27">
        <f t="shared" si="207"/>
        <v>0</v>
      </c>
      <c r="BC201" s="27">
        <f t="shared" si="208"/>
        <v>0</v>
      </c>
      <c r="BD201" s="27">
        <v>0</v>
      </c>
      <c r="BE201" s="27">
        <f t="shared" si="209"/>
        <v>0.00063</v>
      </c>
      <c r="BG201" s="26">
        <f t="shared" si="210"/>
        <v>0</v>
      </c>
      <c r="BH201" s="26">
        <f t="shared" si="211"/>
        <v>0</v>
      </c>
      <c r="BI201" s="26">
        <f t="shared" si="212"/>
        <v>0</v>
      </c>
    </row>
    <row r="202" spans="1:61" ht="12.75">
      <c r="A202" s="24" t="s">
        <v>176</v>
      </c>
      <c r="B202" s="25"/>
      <c r="C202" s="25" t="s">
        <v>425</v>
      </c>
      <c r="D202" s="25" t="s">
        <v>673</v>
      </c>
      <c r="E202" s="25" t="s">
        <v>750</v>
      </c>
      <c r="F202" s="26">
        <v>1</v>
      </c>
      <c r="G202" s="1">
        <v>0</v>
      </c>
      <c r="H202" s="26">
        <f t="shared" si="189"/>
        <v>0</v>
      </c>
      <c r="I202" s="26">
        <f t="shared" si="190"/>
        <v>0</v>
      </c>
      <c r="J202" s="26">
        <f t="shared" si="191"/>
        <v>0</v>
      </c>
      <c r="K202" s="26">
        <v>0.00055</v>
      </c>
      <c r="L202" s="26">
        <f t="shared" si="192"/>
        <v>0.00055</v>
      </c>
      <c r="Y202" s="27">
        <f t="shared" si="193"/>
        <v>0</v>
      </c>
      <c r="AA202" s="27">
        <f t="shared" si="194"/>
        <v>0</v>
      </c>
      <c r="AB202" s="27">
        <f t="shared" si="195"/>
        <v>0</v>
      </c>
      <c r="AC202" s="27">
        <f t="shared" si="196"/>
        <v>0</v>
      </c>
      <c r="AD202" s="27">
        <f t="shared" si="197"/>
        <v>0</v>
      </c>
      <c r="AE202" s="27">
        <f t="shared" si="198"/>
        <v>0</v>
      </c>
      <c r="AF202" s="27">
        <f t="shared" si="199"/>
        <v>0</v>
      </c>
      <c r="AG202" s="27">
        <f t="shared" si="200"/>
        <v>0</v>
      </c>
      <c r="AH202" s="17"/>
      <c r="AI202" s="26">
        <f t="shared" si="201"/>
        <v>0</v>
      </c>
      <c r="AJ202" s="26">
        <f t="shared" si="202"/>
        <v>0</v>
      </c>
      <c r="AK202" s="26">
        <f t="shared" si="203"/>
        <v>0</v>
      </c>
      <c r="AM202" s="27">
        <v>21</v>
      </c>
      <c r="AN202" s="27">
        <f>G202*0.173610223642173</f>
        <v>0</v>
      </c>
      <c r="AO202" s="27">
        <f>G202*(1-0.173610223642173)</f>
        <v>0</v>
      </c>
      <c r="AP202" s="28" t="s">
        <v>13</v>
      </c>
      <c r="AU202" s="27">
        <f t="shared" si="204"/>
        <v>0</v>
      </c>
      <c r="AV202" s="27">
        <f t="shared" si="205"/>
        <v>0</v>
      </c>
      <c r="AW202" s="27">
        <f t="shared" si="206"/>
        <v>0</v>
      </c>
      <c r="AX202" s="29" t="s">
        <v>787</v>
      </c>
      <c r="AY202" s="29" t="s">
        <v>794</v>
      </c>
      <c r="AZ202" s="17" t="s">
        <v>796</v>
      </c>
      <c r="BB202" s="27">
        <f t="shared" si="207"/>
        <v>0</v>
      </c>
      <c r="BC202" s="27">
        <f t="shared" si="208"/>
        <v>0</v>
      </c>
      <c r="BD202" s="27">
        <v>0</v>
      </c>
      <c r="BE202" s="27">
        <f t="shared" si="209"/>
        <v>0.00055</v>
      </c>
      <c r="BG202" s="26">
        <f t="shared" si="210"/>
        <v>0</v>
      </c>
      <c r="BH202" s="26">
        <f t="shared" si="211"/>
        <v>0</v>
      </c>
      <c r="BI202" s="26">
        <f t="shared" si="212"/>
        <v>0</v>
      </c>
    </row>
    <row r="203" spans="1:61" ht="12.75">
      <c r="A203" s="24" t="s">
        <v>177</v>
      </c>
      <c r="B203" s="25"/>
      <c r="C203" s="25" t="s">
        <v>426</v>
      </c>
      <c r="D203" s="25" t="s">
        <v>674</v>
      </c>
      <c r="E203" s="25" t="s">
        <v>750</v>
      </c>
      <c r="F203" s="26">
        <v>1</v>
      </c>
      <c r="G203" s="1">
        <v>0</v>
      </c>
      <c r="H203" s="26">
        <f t="shared" si="189"/>
        <v>0</v>
      </c>
      <c r="I203" s="26">
        <f t="shared" si="190"/>
        <v>0</v>
      </c>
      <c r="J203" s="26">
        <f t="shared" si="191"/>
        <v>0</v>
      </c>
      <c r="K203" s="26">
        <v>0.00048</v>
      </c>
      <c r="L203" s="26">
        <f t="shared" si="192"/>
        <v>0.00048</v>
      </c>
      <c r="Y203" s="27">
        <f t="shared" si="193"/>
        <v>0</v>
      </c>
      <c r="AA203" s="27">
        <f t="shared" si="194"/>
        <v>0</v>
      </c>
      <c r="AB203" s="27">
        <f t="shared" si="195"/>
        <v>0</v>
      </c>
      <c r="AC203" s="27">
        <f t="shared" si="196"/>
        <v>0</v>
      </c>
      <c r="AD203" s="27">
        <f t="shared" si="197"/>
        <v>0</v>
      </c>
      <c r="AE203" s="27">
        <f t="shared" si="198"/>
        <v>0</v>
      </c>
      <c r="AF203" s="27">
        <f t="shared" si="199"/>
        <v>0</v>
      </c>
      <c r="AG203" s="27">
        <f t="shared" si="200"/>
        <v>0</v>
      </c>
      <c r="AH203" s="17"/>
      <c r="AI203" s="26">
        <f t="shared" si="201"/>
        <v>0</v>
      </c>
      <c r="AJ203" s="26">
        <f t="shared" si="202"/>
        <v>0</v>
      </c>
      <c r="AK203" s="26">
        <f t="shared" si="203"/>
        <v>0</v>
      </c>
      <c r="AM203" s="27">
        <v>21</v>
      </c>
      <c r="AN203" s="27">
        <f>G203*0.183435729673662</f>
        <v>0</v>
      </c>
      <c r="AO203" s="27">
        <f>G203*(1-0.183435729673662)</f>
        <v>0</v>
      </c>
      <c r="AP203" s="28" t="s">
        <v>13</v>
      </c>
      <c r="AU203" s="27">
        <f t="shared" si="204"/>
        <v>0</v>
      </c>
      <c r="AV203" s="27">
        <f t="shared" si="205"/>
        <v>0</v>
      </c>
      <c r="AW203" s="27">
        <f t="shared" si="206"/>
        <v>0</v>
      </c>
      <c r="AX203" s="29" t="s">
        <v>787</v>
      </c>
      <c r="AY203" s="29" t="s">
        <v>794</v>
      </c>
      <c r="AZ203" s="17" t="s">
        <v>796</v>
      </c>
      <c r="BB203" s="27">
        <f t="shared" si="207"/>
        <v>0</v>
      </c>
      <c r="BC203" s="27">
        <f t="shared" si="208"/>
        <v>0</v>
      </c>
      <c r="BD203" s="27">
        <v>0</v>
      </c>
      <c r="BE203" s="27">
        <f t="shared" si="209"/>
        <v>0.00048</v>
      </c>
      <c r="BG203" s="26">
        <f t="shared" si="210"/>
        <v>0</v>
      </c>
      <c r="BH203" s="26">
        <f t="shared" si="211"/>
        <v>0</v>
      </c>
      <c r="BI203" s="26">
        <f t="shared" si="212"/>
        <v>0</v>
      </c>
    </row>
    <row r="204" spans="1:61" ht="12.75">
      <c r="A204" s="24" t="s">
        <v>178</v>
      </c>
      <c r="B204" s="25"/>
      <c r="C204" s="25" t="s">
        <v>427</v>
      </c>
      <c r="D204" s="25" t="s">
        <v>675</v>
      </c>
      <c r="E204" s="25" t="s">
        <v>750</v>
      </c>
      <c r="F204" s="26">
        <v>1</v>
      </c>
      <c r="G204" s="1">
        <v>0</v>
      </c>
      <c r="H204" s="26">
        <f t="shared" si="189"/>
        <v>0</v>
      </c>
      <c r="I204" s="26">
        <f t="shared" si="190"/>
        <v>0</v>
      </c>
      <c r="J204" s="26">
        <f t="shared" si="191"/>
        <v>0</v>
      </c>
      <c r="K204" s="26">
        <v>0.00038</v>
      </c>
      <c r="L204" s="26">
        <f t="shared" si="192"/>
        <v>0.00038</v>
      </c>
      <c r="Y204" s="27">
        <f t="shared" si="193"/>
        <v>0</v>
      </c>
      <c r="AA204" s="27">
        <f t="shared" si="194"/>
        <v>0</v>
      </c>
      <c r="AB204" s="27">
        <f t="shared" si="195"/>
        <v>0</v>
      </c>
      <c r="AC204" s="27">
        <f t="shared" si="196"/>
        <v>0</v>
      </c>
      <c r="AD204" s="27">
        <f t="shared" si="197"/>
        <v>0</v>
      </c>
      <c r="AE204" s="27">
        <f t="shared" si="198"/>
        <v>0</v>
      </c>
      <c r="AF204" s="27">
        <f t="shared" si="199"/>
        <v>0</v>
      </c>
      <c r="AG204" s="27">
        <f t="shared" si="200"/>
        <v>0</v>
      </c>
      <c r="AH204" s="17"/>
      <c r="AI204" s="26">
        <f t="shared" si="201"/>
        <v>0</v>
      </c>
      <c r="AJ204" s="26">
        <f t="shared" si="202"/>
        <v>0</v>
      </c>
      <c r="AK204" s="26">
        <f t="shared" si="203"/>
        <v>0</v>
      </c>
      <c r="AM204" s="27">
        <v>21</v>
      </c>
      <c r="AN204" s="27">
        <f>G204*0.16744943927921</f>
        <v>0</v>
      </c>
      <c r="AO204" s="27">
        <f>G204*(1-0.16744943927921)</f>
        <v>0</v>
      </c>
      <c r="AP204" s="28" t="s">
        <v>13</v>
      </c>
      <c r="AU204" s="27">
        <f t="shared" si="204"/>
        <v>0</v>
      </c>
      <c r="AV204" s="27">
        <f t="shared" si="205"/>
        <v>0</v>
      </c>
      <c r="AW204" s="27">
        <f t="shared" si="206"/>
        <v>0</v>
      </c>
      <c r="AX204" s="29" t="s">
        <v>787</v>
      </c>
      <c r="AY204" s="29" t="s">
        <v>794</v>
      </c>
      <c r="AZ204" s="17" t="s">
        <v>796</v>
      </c>
      <c r="BB204" s="27">
        <f t="shared" si="207"/>
        <v>0</v>
      </c>
      <c r="BC204" s="27">
        <f t="shared" si="208"/>
        <v>0</v>
      </c>
      <c r="BD204" s="27">
        <v>0</v>
      </c>
      <c r="BE204" s="27">
        <f t="shared" si="209"/>
        <v>0.00038</v>
      </c>
      <c r="BG204" s="26">
        <f t="shared" si="210"/>
        <v>0</v>
      </c>
      <c r="BH204" s="26">
        <f t="shared" si="211"/>
        <v>0</v>
      </c>
      <c r="BI204" s="26">
        <f t="shared" si="212"/>
        <v>0</v>
      </c>
    </row>
    <row r="205" spans="1:61" ht="12.75">
      <c r="A205" s="24" t="s">
        <v>179</v>
      </c>
      <c r="B205" s="25"/>
      <c r="C205" s="25" t="s">
        <v>428</v>
      </c>
      <c r="D205" s="25" t="s">
        <v>676</v>
      </c>
      <c r="E205" s="25" t="s">
        <v>750</v>
      </c>
      <c r="F205" s="26">
        <v>1</v>
      </c>
      <c r="G205" s="1">
        <v>0</v>
      </c>
      <c r="H205" s="26">
        <f t="shared" si="189"/>
        <v>0</v>
      </c>
      <c r="I205" s="26">
        <f t="shared" si="190"/>
        <v>0</v>
      </c>
      <c r="J205" s="26">
        <f t="shared" si="191"/>
        <v>0</v>
      </c>
      <c r="K205" s="26">
        <v>0.00031</v>
      </c>
      <c r="L205" s="26">
        <f t="shared" si="192"/>
        <v>0.00031</v>
      </c>
      <c r="Y205" s="27">
        <f t="shared" si="193"/>
        <v>0</v>
      </c>
      <c r="AA205" s="27">
        <f t="shared" si="194"/>
        <v>0</v>
      </c>
      <c r="AB205" s="27">
        <f t="shared" si="195"/>
        <v>0</v>
      </c>
      <c r="AC205" s="27">
        <f t="shared" si="196"/>
        <v>0</v>
      </c>
      <c r="AD205" s="27">
        <f t="shared" si="197"/>
        <v>0</v>
      </c>
      <c r="AE205" s="27">
        <f t="shared" si="198"/>
        <v>0</v>
      </c>
      <c r="AF205" s="27">
        <f t="shared" si="199"/>
        <v>0</v>
      </c>
      <c r="AG205" s="27">
        <f t="shared" si="200"/>
        <v>0</v>
      </c>
      <c r="AH205" s="17"/>
      <c r="AI205" s="26">
        <f t="shared" si="201"/>
        <v>0</v>
      </c>
      <c r="AJ205" s="26">
        <f t="shared" si="202"/>
        <v>0</v>
      </c>
      <c r="AK205" s="26">
        <f t="shared" si="203"/>
        <v>0</v>
      </c>
      <c r="AM205" s="27">
        <v>21</v>
      </c>
      <c r="AN205" s="27">
        <f>G205*0.17002132196162</f>
        <v>0</v>
      </c>
      <c r="AO205" s="27">
        <f>G205*(1-0.17002132196162)</f>
        <v>0</v>
      </c>
      <c r="AP205" s="28" t="s">
        <v>13</v>
      </c>
      <c r="AU205" s="27">
        <f t="shared" si="204"/>
        <v>0</v>
      </c>
      <c r="AV205" s="27">
        <f t="shared" si="205"/>
        <v>0</v>
      </c>
      <c r="AW205" s="27">
        <f t="shared" si="206"/>
        <v>0</v>
      </c>
      <c r="AX205" s="29" t="s">
        <v>787</v>
      </c>
      <c r="AY205" s="29" t="s">
        <v>794</v>
      </c>
      <c r="AZ205" s="17" t="s">
        <v>796</v>
      </c>
      <c r="BB205" s="27">
        <f t="shared" si="207"/>
        <v>0</v>
      </c>
      <c r="BC205" s="27">
        <f t="shared" si="208"/>
        <v>0</v>
      </c>
      <c r="BD205" s="27">
        <v>0</v>
      </c>
      <c r="BE205" s="27">
        <f t="shared" si="209"/>
        <v>0.00031</v>
      </c>
      <c r="BG205" s="26">
        <f t="shared" si="210"/>
        <v>0</v>
      </c>
      <c r="BH205" s="26">
        <f t="shared" si="211"/>
        <v>0</v>
      </c>
      <c r="BI205" s="26">
        <f t="shared" si="212"/>
        <v>0</v>
      </c>
    </row>
    <row r="206" spans="1:61" ht="12.75">
      <c r="A206" s="24" t="s">
        <v>180</v>
      </c>
      <c r="B206" s="25"/>
      <c r="C206" s="25" t="s">
        <v>429</v>
      </c>
      <c r="D206" s="25" t="s">
        <v>677</v>
      </c>
      <c r="E206" s="25" t="s">
        <v>750</v>
      </c>
      <c r="F206" s="26">
        <v>1</v>
      </c>
      <c r="G206" s="1">
        <v>0</v>
      </c>
      <c r="H206" s="26">
        <f t="shared" si="189"/>
        <v>0</v>
      </c>
      <c r="I206" s="26">
        <f t="shared" si="190"/>
        <v>0</v>
      </c>
      <c r="J206" s="26">
        <f t="shared" si="191"/>
        <v>0</v>
      </c>
      <c r="K206" s="26">
        <v>0.00034</v>
      </c>
      <c r="L206" s="26">
        <f t="shared" si="192"/>
        <v>0.00034</v>
      </c>
      <c r="Y206" s="27">
        <f t="shared" si="193"/>
        <v>0</v>
      </c>
      <c r="AA206" s="27">
        <f t="shared" si="194"/>
        <v>0</v>
      </c>
      <c r="AB206" s="27">
        <f t="shared" si="195"/>
        <v>0</v>
      </c>
      <c r="AC206" s="27">
        <f t="shared" si="196"/>
        <v>0</v>
      </c>
      <c r="AD206" s="27">
        <f t="shared" si="197"/>
        <v>0</v>
      </c>
      <c r="AE206" s="27">
        <f t="shared" si="198"/>
        <v>0</v>
      </c>
      <c r="AF206" s="27">
        <f t="shared" si="199"/>
        <v>0</v>
      </c>
      <c r="AG206" s="27">
        <f t="shared" si="200"/>
        <v>0</v>
      </c>
      <c r="AH206" s="17"/>
      <c r="AI206" s="26">
        <f t="shared" si="201"/>
        <v>0</v>
      </c>
      <c r="AJ206" s="26">
        <f t="shared" si="202"/>
        <v>0</v>
      </c>
      <c r="AK206" s="26">
        <f t="shared" si="203"/>
        <v>0</v>
      </c>
      <c r="AM206" s="27">
        <v>21</v>
      </c>
      <c r="AN206" s="27">
        <f>G206*0.153647469458988</f>
        <v>0</v>
      </c>
      <c r="AO206" s="27">
        <f>G206*(1-0.153647469458988)</f>
        <v>0</v>
      </c>
      <c r="AP206" s="28" t="s">
        <v>13</v>
      </c>
      <c r="AU206" s="27">
        <f t="shared" si="204"/>
        <v>0</v>
      </c>
      <c r="AV206" s="27">
        <f t="shared" si="205"/>
        <v>0</v>
      </c>
      <c r="AW206" s="27">
        <f t="shared" si="206"/>
        <v>0</v>
      </c>
      <c r="AX206" s="29" t="s">
        <v>787</v>
      </c>
      <c r="AY206" s="29" t="s">
        <v>794</v>
      </c>
      <c r="AZ206" s="17" t="s">
        <v>796</v>
      </c>
      <c r="BB206" s="27">
        <f t="shared" si="207"/>
        <v>0</v>
      </c>
      <c r="BC206" s="27">
        <f t="shared" si="208"/>
        <v>0</v>
      </c>
      <c r="BD206" s="27">
        <v>0</v>
      </c>
      <c r="BE206" s="27">
        <f t="shared" si="209"/>
        <v>0.00034</v>
      </c>
      <c r="BG206" s="26">
        <f t="shared" si="210"/>
        <v>0</v>
      </c>
      <c r="BH206" s="26">
        <f t="shared" si="211"/>
        <v>0</v>
      </c>
      <c r="BI206" s="26">
        <f t="shared" si="212"/>
        <v>0</v>
      </c>
    </row>
    <row r="207" spans="1:61" ht="12.75">
      <c r="A207" s="24" t="s">
        <v>181</v>
      </c>
      <c r="B207" s="25"/>
      <c r="C207" s="25" t="s">
        <v>430</v>
      </c>
      <c r="D207" s="25" t="s">
        <v>678</v>
      </c>
      <c r="E207" s="25" t="s">
        <v>750</v>
      </c>
      <c r="F207" s="26">
        <v>1</v>
      </c>
      <c r="G207" s="1">
        <v>0</v>
      </c>
      <c r="H207" s="26">
        <f t="shared" si="189"/>
        <v>0</v>
      </c>
      <c r="I207" s="26">
        <f t="shared" si="190"/>
        <v>0</v>
      </c>
      <c r="J207" s="26">
        <f t="shared" si="191"/>
        <v>0</v>
      </c>
      <c r="K207" s="26">
        <v>0.00027</v>
      </c>
      <c r="L207" s="26">
        <f t="shared" si="192"/>
        <v>0.00027</v>
      </c>
      <c r="Y207" s="27">
        <f t="shared" si="193"/>
        <v>0</v>
      </c>
      <c r="AA207" s="27">
        <f t="shared" si="194"/>
        <v>0</v>
      </c>
      <c r="AB207" s="27">
        <f t="shared" si="195"/>
        <v>0</v>
      </c>
      <c r="AC207" s="27">
        <f t="shared" si="196"/>
        <v>0</v>
      </c>
      <c r="AD207" s="27">
        <f t="shared" si="197"/>
        <v>0</v>
      </c>
      <c r="AE207" s="27">
        <f t="shared" si="198"/>
        <v>0</v>
      </c>
      <c r="AF207" s="27">
        <f t="shared" si="199"/>
        <v>0</v>
      </c>
      <c r="AG207" s="27">
        <f t="shared" si="200"/>
        <v>0</v>
      </c>
      <c r="AH207" s="17"/>
      <c r="AI207" s="26">
        <f t="shared" si="201"/>
        <v>0</v>
      </c>
      <c r="AJ207" s="26">
        <f t="shared" si="202"/>
        <v>0</v>
      </c>
      <c r="AK207" s="26">
        <f t="shared" si="203"/>
        <v>0</v>
      </c>
      <c r="AM207" s="27">
        <v>21</v>
      </c>
      <c r="AN207" s="27">
        <f>G207*0.160203562340967</f>
        <v>0</v>
      </c>
      <c r="AO207" s="27">
        <f>G207*(1-0.160203562340967)</f>
        <v>0</v>
      </c>
      <c r="AP207" s="28" t="s">
        <v>13</v>
      </c>
      <c r="AU207" s="27">
        <f t="shared" si="204"/>
        <v>0</v>
      </c>
      <c r="AV207" s="27">
        <f t="shared" si="205"/>
        <v>0</v>
      </c>
      <c r="AW207" s="27">
        <f t="shared" si="206"/>
        <v>0</v>
      </c>
      <c r="AX207" s="29" t="s">
        <v>787</v>
      </c>
      <c r="AY207" s="29" t="s">
        <v>794</v>
      </c>
      <c r="AZ207" s="17" t="s">
        <v>796</v>
      </c>
      <c r="BB207" s="27">
        <f t="shared" si="207"/>
        <v>0</v>
      </c>
      <c r="BC207" s="27">
        <f t="shared" si="208"/>
        <v>0</v>
      </c>
      <c r="BD207" s="27">
        <v>0</v>
      </c>
      <c r="BE207" s="27">
        <f t="shared" si="209"/>
        <v>0.00027</v>
      </c>
      <c r="BG207" s="26">
        <f t="shared" si="210"/>
        <v>0</v>
      </c>
      <c r="BH207" s="26">
        <f t="shared" si="211"/>
        <v>0</v>
      </c>
      <c r="BI207" s="26">
        <f t="shared" si="212"/>
        <v>0</v>
      </c>
    </row>
    <row r="208" spans="1:61" ht="12.75">
      <c r="A208" s="24" t="s">
        <v>182</v>
      </c>
      <c r="B208" s="25"/>
      <c r="C208" s="25" t="s">
        <v>431</v>
      </c>
      <c r="D208" s="25" t="s">
        <v>679</v>
      </c>
      <c r="E208" s="25" t="s">
        <v>750</v>
      </c>
      <c r="F208" s="26">
        <v>1</v>
      </c>
      <c r="G208" s="1">
        <v>0</v>
      </c>
      <c r="H208" s="26">
        <f t="shared" si="189"/>
        <v>0</v>
      </c>
      <c r="I208" s="26">
        <f t="shared" si="190"/>
        <v>0</v>
      </c>
      <c r="J208" s="26">
        <f t="shared" si="191"/>
        <v>0</v>
      </c>
      <c r="K208" s="26">
        <v>0.00054</v>
      </c>
      <c r="L208" s="26">
        <f t="shared" si="192"/>
        <v>0.00054</v>
      </c>
      <c r="Y208" s="27">
        <f t="shared" si="193"/>
        <v>0</v>
      </c>
      <c r="AA208" s="27">
        <f t="shared" si="194"/>
        <v>0</v>
      </c>
      <c r="AB208" s="27">
        <f t="shared" si="195"/>
        <v>0</v>
      </c>
      <c r="AC208" s="27">
        <f t="shared" si="196"/>
        <v>0</v>
      </c>
      <c r="AD208" s="27">
        <f t="shared" si="197"/>
        <v>0</v>
      </c>
      <c r="AE208" s="27">
        <f t="shared" si="198"/>
        <v>0</v>
      </c>
      <c r="AF208" s="27">
        <f t="shared" si="199"/>
        <v>0</v>
      </c>
      <c r="AG208" s="27">
        <f t="shared" si="200"/>
        <v>0</v>
      </c>
      <c r="AH208" s="17"/>
      <c r="AI208" s="26">
        <f t="shared" si="201"/>
        <v>0</v>
      </c>
      <c r="AJ208" s="26">
        <f t="shared" si="202"/>
        <v>0</v>
      </c>
      <c r="AK208" s="26">
        <f t="shared" si="203"/>
        <v>0</v>
      </c>
      <c r="AM208" s="27">
        <v>21</v>
      </c>
      <c r="AN208" s="27">
        <f>G208*0.161490280777538</f>
        <v>0</v>
      </c>
      <c r="AO208" s="27">
        <f>G208*(1-0.161490280777538)</f>
        <v>0</v>
      </c>
      <c r="AP208" s="28" t="s">
        <v>13</v>
      </c>
      <c r="AU208" s="27">
        <f t="shared" si="204"/>
        <v>0</v>
      </c>
      <c r="AV208" s="27">
        <f t="shared" si="205"/>
        <v>0</v>
      </c>
      <c r="AW208" s="27">
        <f t="shared" si="206"/>
        <v>0</v>
      </c>
      <c r="AX208" s="29" t="s">
        <v>787</v>
      </c>
      <c r="AY208" s="29" t="s">
        <v>794</v>
      </c>
      <c r="AZ208" s="17" t="s">
        <v>796</v>
      </c>
      <c r="BB208" s="27">
        <f t="shared" si="207"/>
        <v>0</v>
      </c>
      <c r="BC208" s="27">
        <f t="shared" si="208"/>
        <v>0</v>
      </c>
      <c r="BD208" s="27">
        <v>0</v>
      </c>
      <c r="BE208" s="27">
        <f t="shared" si="209"/>
        <v>0.00054</v>
      </c>
      <c r="BG208" s="26">
        <f t="shared" si="210"/>
        <v>0</v>
      </c>
      <c r="BH208" s="26">
        <f t="shared" si="211"/>
        <v>0</v>
      </c>
      <c r="BI208" s="26">
        <f t="shared" si="212"/>
        <v>0</v>
      </c>
    </row>
    <row r="209" spans="1:61" ht="12.75">
      <c r="A209" s="24" t="s">
        <v>183</v>
      </c>
      <c r="B209" s="25"/>
      <c r="C209" s="25" t="s">
        <v>432</v>
      </c>
      <c r="D209" s="25" t="s">
        <v>680</v>
      </c>
      <c r="E209" s="25" t="s">
        <v>750</v>
      </c>
      <c r="F209" s="26">
        <v>1</v>
      </c>
      <c r="G209" s="1">
        <v>0</v>
      </c>
      <c r="H209" s="26">
        <f t="shared" si="189"/>
        <v>0</v>
      </c>
      <c r="I209" s="26">
        <f t="shared" si="190"/>
        <v>0</v>
      </c>
      <c r="J209" s="26">
        <f t="shared" si="191"/>
        <v>0</v>
      </c>
      <c r="K209" s="26">
        <v>0.00047</v>
      </c>
      <c r="L209" s="26">
        <f t="shared" si="192"/>
        <v>0.00047</v>
      </c>
      <c r="Y209" s="27">
        <f t="shared" si="193"/>
        <v>0</v>
      </c>
      <c r="AA209" s="27">
        <f t="shared" si="194"/>
        <v>0</v>
      </c>
      <c r="AB209" s="27">
        <f t="shared" si="195"/>
        <v>0</v>
      </c>
      <c r="AC209" s="27">
        <f t="shared" si="196"/>
        <v>0</v>
      </c>
      <c r="AD209" s="27">
        <f t="shared" si="197"/>
        <v>0</v>
      </c>
      <c r="AE209" s="27">
        <f t="shared" si="198"/>
        <v>0</v>
      </c>
      <c r="AF209" s="27">
        <f t="shared" si="199"/>
        <v>0</v>
      </c>
      <c r="AG209" s="27">
        <f t="shared" si="200"/>
        <v>0</v>
      </c>
      <c r="AH209" s="17"/>
      <c r="AI209" s="26">
        <f t="shared" si="201"/>
        <v>0</v>
      </c>
      <c r="AJ209" s="26">
        <f t="shared" si="202"/>
        <v>0</v>
      </c>
      <c r="AK209" s="26">
        <f t="shared" si="203"/>
        <v>0</v>
      </c>
      <c r="AM209" s="27">
        <v>21</v>
      </c>
      <c r="AN209" s="27">
        <f>G209*0.168649556898561</f>
        <v>0</v>
      </c>
      <c r="AO209" s="27">
        <f>G209*(1-0.168649556898561)</f>
        <v>0</v>
      </c>
      <c r="AP209" s="28" t="s">
        <v>13</v>
      </c>
      <c r="AU209" s="27">
        <f t="shared" si="204"/>
        <v>0</v>
      </c>
      <c r="AV209" s="27">
        <f t="shared" si="205"/>
        <v>0</v>
      </c>
      <c r="AW209" s="27">
        <f t="shared" si="206"/>
        <v>0</v>
      </c>
      <c r="AX209" s="29" t="s">
        <v>787</v>
      </c>
      <c r="AY209" s="29" t="s">
        <v>794</v>
      </c>
      <c r="AZ209" s="17" t="s">
        <v>796</v>
      </c>
      <c r="BB209" s="27">
        <f t="shared" si="207"/>
        <v>0</v>
      </c>
      <c r="BC209" s="27">
        <f t="shared" si="208"/>
        <v>0</v>
      </c>
      <c r="BD209" s="27">
        <v>0</v>
      </c>
      <c r="BE209" s="27">
        <f t="shared" si="209"/>
        <v>0.00047</v>
      </c>
      <c r="BG209" s="26">
        <f t="shared" si="210"/>
        <v>0</v>
      </c>
      <c r="BH209" s="26">
        <f t="shared" si="211"/>
        <v>0</v>
      </c>
      <c r="BI209" s="26">
        <f t="shared" si="212"/>
        <v>0</v>
      </c>
    </row>
    <row r="210" spans="1:61" ht="12.75">
      <c r="A210" s="24" t="s">
        <v>184</v>
      </c>
      <c r="B210" s="25"/>
      <c r="C210" s="25" t="s">
        <v>433</v>
      </c>
      <c r="D210" s="25" t="s">
        <v>681</v>
      </c>
      <c r="E210" s="25" t="s">
        <v>750</v>
      </c>
      <c r="F210" s="26">
        <v>1</v>
      </c>
      <c r="G210" s="1">
        <v>0</v>
      </c>
      <c r="H210" s="26">
        <f t="shared" si="189"/>
        <v>0</v>
      </c>
      <c r="I210" s="26">
        <f t="shared" si="190"/>
        <v>0</v>
      </c>
      <c r="J210" s="26">
        <f t="shared" si="191"/>
        <v>0</v>
      </c>
      <c r="K210" s="26">
        <v>0.00037</v>
      </c>
      <c r="L210" s="26">
        <f t="shared" si="192"/>
        <v>0.00037</v>
      </c>
      <c r="Y210" s="27">
        <f t="shared" si="193"/>
        <v>0</v>
      </c>
      <c r="AA210" s="27">
        <f t="shared" si="194"/>
        <v>0</v>
      </c>
      <c r="AB210" s="27">
        <f t="shared" si="195"/>
        <v>0</v>
      </c>
      <c r="AC210" s="27">
        <f t="shared" si="196"/>
        <v>0</v>
      </c>
      <c r="AD210" s="27">
        <f t="shared" si="197"/>
        <v>0</v>
      </c>
      <c r="AE210" s="27">
        <f t="shared" si="198"/>
        <v>0</v>
      </c>
      <c r="AF210" s="27">
        <f t="shared" si="199"/>
        <v>0</v>
      </c>
      <c r="AG210" s="27">
        <f t="shared" si="200"/>
        <v>0</v>
      </c>
      <c r="AH210" s="17"/>
      <c r="AI210" s="26">
        <f t="shared" si="201"/>
        <v>0</v>
      </c>
      <c r="AJ210" s="26">
        <f t="shared" si="202"/>
        <v>0</v>
      </c>
      <c r="AK210" s="26">
        <f t="shared" si="203"/>
        <v>0</v>
      </c>
      <c r="AM210" s="27">
        <v>21</v>
      </c>
      <c r="AN210" s="27">
        <f>G210*0.151242711488974</f>
        <v>0</v>
      </c>
      <c r="AO210" s="27">
        <f>G210*(1-0.151242711488974)</f>
        <v>0</v>
      </c>
      <c r="AP210" s="28" t="s">
        <v>13</v>
      </c>
      <c r="AU210" s="27">
        <f t="shared" si="204"/>
        <v>0</v>
      </c>
      <c r="AV210" s="27">
        <f t="shared" si="205"/>
        <v>0</v>
      </c>
      <c r="AW210" s="27">
        <f t="shared" si="206"/>
        <v>0</v>
      </c>
      <c r="AX210" s="29" t="s">
        <v>787</v>
      </c>
      <c r="AY210" s="29" t="s">
        <v>794</v>
      </c>
      <c r="AZ210" s="17" t="s">
        <v>796</v>
      </c>
      <c r="BB210" s="27">
        <f t="shared" si="207"/>
        <v>0</v>
      </c>
      <c r="BC210" s="27">
        <f t="shared" si="208"/>
        <v>0</v>
      </c>
      <c r="BD210" s="27">
        <v>0</v>
      </c>
      <c r="BE210" s="27">
        <f t="shared" si="209"/>
        <v>0.00037</v>
      </c>
      <c r="BG210" s="26">
        <f t="shared" si="210"/>
        <v>0</v>
      </c>
      <c r="BH210" s="26">
        <f t="shared" si="211"/>
        <v>0</v>
      </c>
      <c r="BI210" s="26">
        <f t="shared" si="212"/>
        <v>0</v>
      </c>
    </row>
    <row r="211" spans="1:61" ht="12.75">
      <c r="A211" s="24" t="s">
        <v>185</v>
      </c>
      <c r="B211" s="25"/>
      <c r="C211" s="25" t="s">
        <v>434</v>
      </c>
      <c r="D211" s="25" t="s">
        <v>682</v>
      </c>
      <c r="E211" s="25" t="s">
        <v>750</v>
      </c>
      <c r="F211" s="26">
        <v>1</v>
      </c>
      <c r="G211" s="1">
        <v>0</v>
      </c>
      <c r="H211" s="26">
        <f t="shared" si="189"/>
        <v>0</v>
      </c>
      <c r="I211" s="26">
        <f t="shared" si="190"/>
        <v>0</v>
      </c>
      <c r="J211" s="26">
        <f t="shared" si="191"/>
        <v>0</v>
      </c>
      <c r="K211" s="26">
        <v>0.0003</v>
      </c>
      <c r="L211" s="26">
        <f t="shared" si="192"/>
        <v>0.0003</v>
      </c>
      <c r="Y211" s="27">
        <f t="shared" si="193"/>
        <v>0</v>
      </c>
      <c r="AA211" s="27">
        <f t="shared" si="194"/>
        <v>0</v>
      </c>
      <c r="AB211" s="27">
        <f t="shared" si="195"/>
        <v>0</v>
      </c>
      <c r="AC211" s="27">
        <f t="shared" si="196"/>
        <v>0</v>
      </c>
      <c r="AD211" s="27">
        <f t="shared" si="197"/>
        <v>0</v>
      </c>
      <c r="AE211" s="27">
        <f t="shared" si="198"/>
        <v>0</v>
      </c>
      <c r="AF211" s="27">
        <f t="shared" si="199"/>
        <v>0</v>
      </c>
      <c r="AG211" s="27">
        <f t="shared" si="200"/>
        <v>0</v>
      </c>
      <c r="AH211" s="17"/>
      <c r="AI211" s="26">
        <f t="shared" si="201"/>
        <v>0</v>
      </c>
      <c r="AJ211" s="26">
        <f t="shared" si="202"/>
        <v>0</v>
      </c>
      <c r="AK211" s="26">
        <f t="shared" si="203"/>
        <v>0</v>
      </c>
      <c r="AM211" s="27">
        <v>21</v>
      </c>
      <c r="AN211" s="27">
        <f>G211*0.148315098468271</f>
        <v>0</v>
      </c>
      <c r="AO211" s="27">
        <f>G211*(1-0.148315098468271)</f>
        <v>0</v>
      </c>
      <c r="AP211" s="28" t="s">
        <v>13</v>
      </c>
      <c r="AU211" s="27">
        <f t="shared" si="204"/>
        <v>0</v>
      </c>
      <c r="AV211" s="27">
        <f t="shared" si="205"/>
        <v>0</v>
      </c>
      <c r="AW211" s="27">
        <f t="shared" si="206"/>
        <v>0</v>
      </c>
      <c r="AX211" s="29" t="s">
        <v>787</v>
      </c>
      <c r="AY211" s="29" t="s">
        <v>794</v>
      </c>
      <c r="AZ211" s="17" t="s">
        <v>796</v>
      </c>
      <c r="BB211" s="27">
        <f t="shared" si="207"/>
        <v>0</v>
      </c>
      <c r="BC211" s="27">
        <f t="shared" si="208"/>
        <v>0</v>
      </c>
      <c r="BD211" s="27">
        <v>0</v>
      </c>
      <c r="BE211" s="27">
        <f t="shared" si="209"/>
        <v>0.0003</v>
      </c>
      <c r="BG211" s="26">
        <f t="shared" si="210"/>
        <v>0</v>
      </c>
      <c r="BH211" s="26">
        <f t="shared" si="211"/>
        <v>0</v>
      </c>
      <c r="BI211" s="26">
        <f t="shared" si="212"/>
        <v>0</v>
      </c>
    </row>
    <row r="212" spans="1:61" ht="12.75">
      <c r="A212" s="24" t="s">
        <v>186</v>
      </c>
      <c r="B212" s="25"/>
      <c r="C212" s="25" t="s">
        <v>435</v>
      </c>
      <c r="D212" s="25" t="s">
        <v>683</v>
      </c>
      <c r="E212" s="25" t="s">
        <v>750</v>
      </c>
      <c r="F212" s="26">
        <v>1</v>
      </c>
      <c r="G212" s="1">
        <v>0</v>
      </c>
      <c r="H212" s="26">
        <f t="shared" si="189"/>
        <v>0</v>
      </c>
      <c r="I212" s="26">
        <f t="shared" si="190"/>
        <v>0</v>
      </c>
      <c r="J212" s="26">
        <f t="shared" si="191"/>
        <v>0</v>
      </c>
      <c r="K212" s="26">
        <v>0.00033</v>
      </c>
      <c r="L212" s="26">
        <f t="shared" si="192"/>
        <v>0.00033</v>
      </c>
      <c r="Y212" s="27">
        <f t="shared" si="193"/>
        <v>0</v>
      </c>
      <c r="AA212" s="27">
        <f t="shared" si="194"/>
        <v>0</v>
      </c>
      <c r="AB212" s="27">
        <f t="shared" si="195"/>
        <v>0</v>
      </c>
      <c r="AC212" s="27">
        <f t="shared" si="196"/>
        <v>0</v>
      </c>
      <c r="AD212" s="27">
        <f t="shared" si="197"/>
        <v>0</v>
      </c>
      <c r="AE212" s="27">
        <f t="shared" si="198"/>
        <v>0</v>
      </c>
      <c r="AF212" s="27">
        <f t="shared" si="199"/>
        <v>0</v>
      </c>
      <c r="AG212" s="27">
        <f t="shared" si="200"/>
        <v>0</v>
      </c>
      <c r="AH212" s="17"/>
      <c r="AI212" s="26">
        <f t="shared" si="201"/>
        <v>0</v>
      </c>
      <c r="AJ212" s="26">
        <f t="shared" si="202"/>
        <v>0</v>
      </c>
      <c r="AK212" s="26">
        <f t="shared" si="203"/>
        <v>0</v>
      </c>
      <c r="AM212" s="27">
        <v>21</v>
      </c>
      <c r="AN212" s="27">
        <f>G212*0.144197530864198</f>
        <v>0</v>
      </c>
      <c r="AO212" s="27">
        <f>G212*(1-0.144197530864198)</f>
        <v>0</v>
      </c>
      <c r="AP212" s="28" t="s">
        <v>13</v>
      </c>
      <c r="AU212" s="27">
        <f t="shared" si="204"/>
        <v>0</v>
      </c>
      <c r="AV212" s="27">
        <f t="shared" si="205"/>
        <v>0</v>
      </c>
      <c r="AW212" s="27">
        <f t="shared" si="206"/>
        <v>0</v>
      </c>
      <c r="AX212" s="29" t="s">
        <v>787</v>
      </c>
      <c r="AY212" s="29" t="s">
        <v>794</v>
      </c>
      <c r="AZ212" s="17" t="s">
        <v>796</v>
      </c>
      <c r="BB212" s="27">
        <f t="shared" si="207"/>
        <v>0</v>
      </c>
      <c r="BC212" s="27">
        <f t="shared" si="208"/>
        <v>0</v>
      </c>
      <c r="BD212" s="27">
        <v>0</v>
      </c>
      <c r="BE212" s="27">
        <f t="shared" si="209"/>
        <v>0.00033</v>
      </c>
      <c r="BG212" s="26">
        <f t="shared" si="210"/>
        <v>0</v>
      </c>
      <c r="BH212" s="26">
        <f t="shared" si="211"/>
        <v>0</v>
      </c>
      <c r="BI212" s="26">
        <f t="shared" si="212"/>
        <v>0</v>
      </c>
    </row>
    <row r="213" spans="1:61" ht="12.75">
      <c r="A213" s="24" t="s">
        <v>187</v>
      </c>
      <c r="B213" s="25"/>
      <c r="C213" s="25" t="s">
        <v>436</v>
      </c>
      <c r="D213" s="25" t="s">
        <v>684</v>
      </c>
      <c r="E213" s="25" t="s">
        <v>750</v>
      </c>
      <c r="F213" s="26">
        <v>1</v>
      </c>
      <c r="G213" s="1">
        <v>0</v>
      </c>
      <c r="H213" s="26">
        <f t="shared" si="189"/>
        <v>0</v>
      </c>
      <c r="I213" s="26">
        <f t="shared" si="190"/>
        <v>0</v>
      </c>
      <c r="J213" s="26">
        <f t="shared" si="191"/>
        <v>0</v>
      </c>
      <c r="K213" s="26">
        <v>0.00026</v>
      </c>
      <c r="L213" s="26">
        <f t="shared" si="192"/>
        <v>0.00026</v>
      </c>
      <c r="Y213" s="27">
        <f t="shared" si="193"/>
        <v>0</v>
      </c>
      <c r="AA213" s="27">
        <f t="shared" si="194"/>
        <v>0</v>
      </c>
      <c r="AB213" s="27">
        <f t="shared" si="195"/>
        <v>0</v>
      </c>
      <c r="AC213" s="27">
        <f t="shared" si="196"/>
        <v>0</v>
      </c>
      <c r="AD213" s="27">
        <f t="shared" si="197"/>
        <v>0</v>
      </c>
      <c r="AE213" s="27">
        <f t="shared" si="198"/>
        <v>0</v>
      </c>
      <c r="AF213" s="27">
        <f t="shared" si="199"/>
        <v>0</v>
      </c>
      <c r="AG213" s="27">
        <f t="shared" si="200"/>
        <v>0</v>
      </c>
      <c r="AH213" s="17"/>
      <c r="AI213" s="26">
        <f t="shared" si="201"/>
        <v>0</v>
      </c>
      <c r="AJ213" s="26">
        <f t="shared" si="202"/>
        <v>0</v>
      </c>
      <c r="AK213" s="26">
        <f t="shared" si="203"/>
        <v>0</v>
      </c>
      <c r="AM213" s="27">
        <v>21</v>
      </c>
      <c r="AN213" s="27">
        <f>G213*0.146459948320413</f>
        <v>0</v>
      </c>
      <c r="AO213" s="27">
        <f>G213*(1-0.146459948320413)</f>
        <v>0</v>
      </c>
      <c r="AP213" s="28" t="s">
        <v>13</v>
      </c>
      <c r="AU213" s="27">
        <f t="shared" si="204"/>
        <v>0</v>
      </c>
      <c r="AV213" s="27">
        <f t="shared" si="205"/>
        <v>0</v>
      </c>
      <c r="AW213" s="27">
        <f t="shared" si="206"/>
        <v>0</v>
      </c>
      <c r="AX213" s="29" t="s">
        <v>787</v>
      </c>
      <c r="AY213" s="29" t="s">
        <v>794</v>
      </c>
      <c r="AZ213" s="17" t="s">
        <v>796</v>
      </c>
      <c r="BB213" s="27">
        <f t="shared" si="207"/>
        <v>0</v>
      </c>
      <c r="BC213" s="27">
        <f t="shared" si="208"/>
        <v>0</v>
      </c>
      <c r="BD213" s="27">
        <v>0</v>
      </c>
      <c r="BE213" s="27">
        <f t="shared" si="209"/>
        <v>0.00026</v>
      </c>
      <c r="BG213" s="26">
        <f t="shared" si="210"/>
        <v>0</v>
      </c>
      <c r="BH213" s="26">
        <f t="shared" si="211"/>
        <v>0</v>
      </c>
      <c r="BI213" s="26">
        <f t="shared" si="212"/>
        <v>0</v>
      </c>
    </row>
    <row r="214" spans="1:61" ht="12.75">
      <c r="A214" s="24" t="s">
        <v>188</v>
      </c>
      <c r="B214" s="25"/>
      <c r="C214" s="25" t="s">
        <v>437</v>
      </c>
      <c r="D214" s="25" t="s">
        <v>685</v>
      </c>
      <c r="E214" s="25" t="s">
        <v>750</v>
      </c>
      <c r="F214" s="26">
        <v>1</v>
      </c>
      <c r="G214" s="1">
        <v>0</v>
      </c>
      <c r="H214" s="26">
        <f t="shared" si="189"/>
        <v>0</v>
      </c>
      <c r="I214" s="26">
        <f t="shared" si="190"/>
        <v>0</v>
      </c>
      <c r="J214" s="26">
        <f t="shared" si="191"/>
        <v>0</v>
      </c>
      <c r="K214" s="26">
        <v>0.00062</v>
      </c>
      <c r="L214" s="26">
        <f t="shared" si="192"/>
        <v>0.00062</v>
      </c>
      <c r="Y214" s="27">
        <f t="shared" si="193"/>
        <v>0</v>
      </c>
      <c r="AA214" s="27">
        <f t="shared" si="194"/>
        <v>0</v>
      </c>
      <c r="AB214" s="27">
        <f t="shared" si="195"/>
        <v>0</v>
      </c>
      <c r="AC214" s="27">
        <f t="shared" si="196"/>
        <v>0</v>
      </c>
      <c r="AD214" s="27">
        <f t="shared" si="197"/>
        <v>0</v>
      </c>
      <c r="AE214" s="27">
        <f t="shared" si="198"/>
        <v>0</v>
      </c>
      <c r="AF214" s="27">
        <f t="shared" si="199"/>
        <v>0</v>
      </c>
      <c r="AG214" s="27">
        <f t="shared" si="200"/>
        <v>0</v>
      </c>
      <c r="AH214" s="17"/>
      <c r="AI214" s="26">
        <f t="shared" si="201"/>
        <v>0</v>
      </c>
      <c r="AJ214" s="26">
        <f t="shared" si="202"/>
        <v>0</v>
      </c>
      <c r="AK214" s="26">
        <f t="shared" si="203"/>
        <v>0</v>
      </c>
      <c r="AM214" s="27">
        <v>21</v>
      </c>
      <c r="AN214" s="27">
        <f>G214*0.157735049640042</f>
        <v>0</v>
      </c>
      <c r="AO214" s="27">
        <f>G214*(1-0.157735049640042)</f>
        <v>0</v>
      </c>
      <c r="AP214" s="28" t="s">
        <v>13</v>
      </c>
      <c r="AU214" s="27">
        <f t="shared" si="204"/>
        <v>0</v>
      </c>
      <c r="AV214" s="27">
        <f t="shared" si="205"/>
        <v>0</v>
      </c>
      <c r="AW214" s="27">
        <f t="shared" si="206"/>
        <v>0</v>
      </c>
      <c r="AX214" s="29" t="s">
        <v>787</v>
      </c>
      <c r="AY214" s="29" t="s">
        <v>794</v>
      </c>
      <c r="AZ214" s="17" t="s">
        <v>796</v>
      </c>
      <c r="BB214" s="27">
        <f t="shared" si="207"/>
        <v>0</v>
      </c>
      <c r="BC214" s="27">
        <f t="shared" si="208"/>
        <v>0</v>
      </c>
      <c r="BD214" s="27">
        <v>0</v>
      </c>
      <c r="BE214" s="27">
        <f t="shared" si="209"/>
        <v>0.00062</v>
      </c>
      <c r="BG214" s="26">
        <f t="shared" si="210"/>
        <v>0</v>
      </c>
      <c r="BH214" s="26">
        <f t="shared" si="211"/>
        <v>0</v>
      </c>
      <c r="BI214" s="26">
        <f t="shared" si="212"/>
        <v>0</v>
      </c>
    </row>
    <row r="215" spans="1:61" ht="12.75">
      <c r="A215" s="24" t="s">
        <v>189</v>
      </c>
      <c r="B215" s="25"/>
      <c r="C215" s="25" t="s">
        <v>438</v>
      </c>
      <c r="D215" s="25" t="s">
        <v>686</v>
      </c>
      <c r="E215" s="25" t="s">
        <v>750</v>
      </c>
      <c r="F215" s="26">
        <v>1</v>
      </c>
      <c r="G215" s="1">
        <v>0</v>
      </c>
      <c r="H215" s="26">
        <f t="shared" si="189"/>
        <v>0</v>
      </c>
      <c r="I215" s="26">
        <f t="shared" si="190"/>
        <v>0</v>
      </c>
      <c r="J215" s="26">
        <f t="shared" si="191"/>
        <v>0</v>
      </c>
      <c r="K215" s="26">
        <v>0.0006</v>
      </c>
      <c r="L215" s="26">
        <f t="shared" si="192"/>
        <v>0.0006</v>
      </c>
      <c r="Y215" s="27">
        <f t="shared" si="193"/>
        <v>0</v>
      </c>
      <c r="AA215" s="27">
        <f t="shared" si="194"/>
        <v>0</v>
      </c>
      <c r="AB215" s="27">
        <f t="shared" si="195"/>
        <v>0</v>
      </c>
      <c r="AC215" s="27">
        <f t="shared" si="196"/>
        <v>0</v>
      </c>
      <c r="AD215" s="27">
        <f t="shared" si="197"/>
        <v>0</v>
      </c>
      <c r="AE215" s="27">
        <f t="shared" si="198"/>
        <v>0</v>
      </c>
      <c r="AF215" s="27">
        <f t="shared" si="199"/>
        <v>0</v>
      </c>
      <c r="AG215" s="27">
        <f t="shared" si="200"/>
        <v>0</v>
      </c>
      <c r="AH215" s="17"/>
      <c r="AI215" s="26">
        <f t="shared" si="201"/>
        <v>0</v>
      </c>
      <c r="AJ215" s="26">
        <f t="shared" si="202"/>
        <v>0</v>
      </c>
      <c r="AK215" s="26">
        <f t="shared" si="203"/>
        <v>0</v>
      </c>
      <c r="AM215" s="27">
        <v>21</v>
      </c>
      <c r="AN215" s="27">
        <f>G215*0.123177570093458</f>
        <v>0</v>
      </c>
      <c r="AO215" s="27">
        <f>G215*(1-0.123177570093458)</f>
        <v>0</v>
      </c>
      <c r="AP215" s="28" t="s">
        <v>13</v>
      </c>
      <c r="AU215" s="27">
        <f t="shared" si="204"/>
        <v>0</v>
      </c>
      <c r="AV215" s="27">
        <f t="shared" si="205"/>
        <v>0</v>
      </c>
      <c r="AW215" s="27">
        <f t="shared" si="206"/>
        <v>0</v>
      </c>
      <c r="AX215" s="29" t="s">
        <v>787</v>
      </c>
      <c r="AY215" s="29" t="s">
        <v>794</v>
      </c>
      <c r="AZ215" s="17" t="s">
        <v>796</v>
      </c>
      <c r="BB215" s="27">
        <f t="shared" si="207"/>
        <v>0</v>
      </c>
      <c r="BC215" s="27">
        <f t="shared" si="208"/>
        <v>0</v>
      </c>
      <c r="BD215" s="27">
        <v>0</v>
      </c>
      <c r="BE215" s="27">
        <f t="shared" si="209"/>
        <v>0.0006</v>
      </c>
      <c r="BG215" s="26">
        <f t="shared" si="210"/>
        <v>0</v>
      </c>
      <c r="BH215" s="26">
        <f t="shared" si="211"/>
        <v>0</v>
      </c>
      <c r="BI215" s="26">
        <f t="shared" si="212"/>
        <v>0</v>
      </c>
    </row>
    <row r="216" spans="1:61" ht="12.75">
      <c r="A216" s="24" t="s">
        <v>190</v>
      </c>
      <c r="B216" s="25"/>
      <c r="C216" s="25" t="s">
        <v>439</v>
      </c>
      <c r="D216" s="25" t="s">
        <v>687</v>
      </c>
      <c r="E216" s="25" t="s">
        <v>750</v>
      </c>
      <c r="F216" s="26">
        <v>1</v>
      </c>
      <c r="G216" s="1">
        <v>0</v>
      </c>
      <c r="H216" s="26">
        <f t="shared" si="189"/>
        <v>0</v>
      </c>
      <c r="I216" s="26">
        <f t="shared" si="190"/>
        <v>0</v>
      </c>
      <c r="J216" s="26">
        <f t="shared" si="191"/>
        <v>0</v>
      </c>
      <c r="K216" s="26">
        <v>0.00071</v>
      </c>
      <c r="L216" s="26">
        <f t="shared" si="192"/>
        <v>0.00071</v>
      </c>
      <c r="Y216" s="27">
        <f t="shared" si="193"/>
        <v>0</v>
      </c>
      <c r="AA216" s="27">
        <f t="shared" si="194"/>
        <v>0</v>
      </c>
      <c r="AB216" s="27">
        <f t="shared" si="195"/>
        <v>0</v>
      </c>
      <c r="AC216" s="27">
        <f t="shared" si="196"/>
        <v>0</v>
      </c>
      <c r="AD216" s="27">
        <f t="shared" si="197"/>
        <v>0</v>
      </c>
      <c r="AE216" s="27">
        <f t="shared" si="198"/>
        <v>0</v>
      </c>
      <c r="AF216" s="27">
        <f t="shared" si="199"/>
        <v>0</v>
      </c>
      <c r="AG216" s="27">
        <f t="shared" si="200"/>
        <v>0</v>
      </c>
      <c r="AH216" s="17"/>
      <c r="AI216" s="26">
        <f t="shared" si="201"/>
        <v>0</v>
      </c>
      <c r="AJ216" s="26">
        <f t="shared" si="202"/>
        <v>0</v>
      </c>
      <c r="AK216" s="26">
        <f t="shared" si="203"/>
        <v>0</v>
      </c>
      <c r="AM216" s="27">
        <v>21</v>
      </c>
      <c r="AN216" s="27">
        <f>G216*0.129138888888889</f>
        <v>0</v>
      </c>
      <c r="AO216" s="27">
        <f>G216*(1-0.129138888888889)</f>
        <v>0</v>
      </c>
      <c r="AP216" s="28" t="s">
        <v>13</v>
      </c>
      <c r="AU216" s="27">
        <f t="shared" si="204"/>
        <v>0</v>
      </c>
      <c r="AV216" s="27">
        <f t="shared" si="205"/>
        <v>0</v>
      </c>
      <c r="AW216" s="27">
        <f t="shared" si="206"/>
        <v>0</v>
      </c>
      <c r="AX216" s="29" t="s">
        <v>787</v>
      </c>
      <c r="AY216" s="29" t="s">
        <v>794</v>
      </c>
      <c r="AZ216" s="17" t="s">
        <v>796</v>
      </c>
      <c r="BB216" s="27">
        <f t="shared" si="207"/>
        <v>0</v>
      </c>
      <c r="BC216" s="27">
        <f t="shared" si="208"/>
        <v>0</v>
      </c>
      <c r="BD216" s="27">
        <v>0</v>
      </c>
      <c r="BE216" s="27">
        <f t="shared" si="209"/>
        <v>0.00071</v>
      </c>
      <c r="BG216" s="26">
        <f t="shared" si="210"/>
        <v>0</v>
      </c>
      <c r="BH216" s="26">
        <f t="shared" si="211"/>
        <v>0</v>
      </c>
      <c r="BI216" s="26">
        <f t="shared" si="212"/>
        <v>0</v>
      </c>
    </row>
    <row r="217" spans="1:61" ht="12.75">
      <c r="A217" s="24" t="s">
        <v>191</v>
      </c>
      <c r="B217" s="25"/>
      <c r="C217" s="25" t="s">
        <v>440</v>
      </c>
      <c r="D217" s="25" t="s">
        <v>688</v>
      </c>
      <c r="E217" s="25" t="s">
        <v>753</v>
      </c>
      <c r="F217" s="26">
        <v>1</v>
      </c>
      <c r="G217" s="1">
        <v>0</v>
      </c>
      <c r="H217" s="26">
        <f t="shared" si="189"/>
        <v>0</v>
      </c>
      <c r="I217" s="26">
        <f t="shared" si="190"/>
        <v>0</v>
      </c>
      <c r="J217" s="26">
        <f t="shared" si="191"/>
        <v>0</v>
      </c>
      <c r="K217" s="26">
        <v>0</v>
      </c>
      <c r="L217" s="26">
        <f t="shared" si="192"/>
        <v>0</v>
      </c>
      <c r="Y217" s="27">
        <f t="shared" si="193"/>
        <v>0</v>
      </c>
      <c r="AA217" s="27">
        <f t="shared" si="194"/>
        <v>0</v>
      </c>
      <c r="AB217" s="27">
        <f t="shared" si="195"/>
        <v>0</v>
      </c>
      <c r="AC217" s="27">
        <f t="shared" si="196"/>
        <v>0</v>
      </c>
      <c r="AD217" s="27">
        <f t="shared" si="197"/>
        <v>0</v>
      </c>
      <c r="AE217" s="27">
        <f t="shared" si="198"/>
        <v>0</v>
      </c>
      <c r="AF217" s="27">
        <f t="shared" si="199"/>
        <v>0</v>
      </c>
      <c r="AG217" s="27">
        <f t="shared" si="200"/>
        <v>0</v>
      </c>
      <c r="AH217" s="17"/>
      <c r="AI217" s="26">
        <f t="shared" si="201"/>
        <v>0</v>
      </c>
      <c r="AJ217" s="26">
        <f t="shared" si="202"/>
        <v>0</v>
      </c>
      <c r="AK217" s="26">
        <f t="shared" si="203"/>
        <v>0</v>
      </c>
      <c r="AM217" s="27">
        <v>21</v>
      </c>
      <c r="AN217" s="27">
        <f aca="true" t="shared" si="213" ref="AN217:AN222">G217*0</f>
        <v>0</v>
      </c>
      <c r="AO217" s="27">
        <f aca="true" t="shared" si="214" ref="AO217:AO222">G217*(1-0)</f>
        <v>0</v>
      </c>
      <c r="AP217" s="28" t="s">
        <v>13</v>
      </c>
      <c r="AU217" s="27">
        <f t="shared" si="204"/>
        <v>0</v>
      </c>
      <c r="AV217" s="27">
        <f t="shared" si="205"/>
        <v>0</v>
      </c>
      <c r="AW217" s="27">
        <f t="shared" si="206"/>
        <v>0</v>
      </c>
      <c r="AX217" s="29" t="s">
        <v>787</v>
      </c>
      <c r="AY217" s="29" t="s">
        <v>794</v>
      </c>
      <c r="AZ217" s="17" t="s">
        <v>796</v>
      </c>
      <c r="BB217" s="27">
        <f t="shared" si="207"/>
        <v>0</v>
      </c>
      <c r="BC217" s="27">
        <f t="shared" si="208"/>
        <v>0</v>
      </c>
      <c r="BD217" s="27">
        <v>0</v>
      </c>
      <c r="BE217" s="27">
        <f t="shared" si="209"/>
        <v>0</v>
      </c>
      <c r="BG217" s="26">
        <f t="shared" si="210"/>
        <v>0</v>
      </c>
      <c r="BH217" s="26">
        <f t="shared" si="211"/>
        <v>0</v>
      </c>
      <c r="BI217" s="26">
        <f t="shared" si="212"/>
        <v>0</v>
      </c>
    </row>
    <row r="218" spans="1:61" ht="12.75">
      <c r="A218" s="24" t="s">
        <v>192</v>
      </c>
      <c r="B218" s="25"/>
      <c r="C218" s="25" t="s">
        <v>441</v>
      </c>
      <c r="D218" s="25" t="s">
        <v>689</v>
      </c>
      <c r="E218" s="25" t="s">
        <v>753</v>
      </c>
      <c r="F218" s="26">
        <v>1</v>
      </c>
      <c r="G218" s="1">
        <v>0</v>
      </c>
      <c r="H218" s="26">
        <f t="shared" si="189"/>
        <v>0</v>
      </c>
      <c r="I218" s="26">
        <f t="shared" si="190"/>
        <v>0</v>
      </c>
      <c r="J218" s="26">
        <f t="shared" si="191"/>
        <v>0</v>
      </c>
      <c r="K218" s="26">
        <v>0</v>
      </c>
      <c r="L218" s="26">
        <f t="shared" si="192"/>
        <v>0</v>
      </c>
      <c r="Y218" s="27">
        <f t="shared" si="193"/>
        <v>0</v>
      </c>
      <c r="AA218" s="27">
        <f t="shared" si="194"/>
        <v>0</v>
      </c>
      <c r="AB218" s="27">
        <f t="shared" si="195"/>
        <v>0</v>
      </c>
      <c r="AC218" s="27">
        <f t="shared" si="196"/>
        <v>0</v>
      </c>
      <c r="AD218" s="27">
        <f t="shared" si="197"/>
        <v>0</v>
      </c>
      <c r="AE218" s="27">
        <f t="shared" si="198"/>
        <v>0</v>
      </c>
      <c r="AF218" s="27">
        <f t="shared" si="199"/>
        <v>0</v>
      </c>
      <c r="AG218" s="27">
        <f t="shared" si="200"/>
        <v>0</v>
      </c>
      <c r="AH218" s="17"/>
      <c r="AI218" s="26">
        <f t="shared" si="201"/>
        <v>0</v>
      </c>
      <c r="AJ218" s="26">
        <f t="shared" si="202"/>
        <v>0</v>
      </c>
      <c r="AK218" s="26">
        <f t="shared" si="203"/>
        <v>0</v>
      </c>
      <c r="AM218" s="27">
        <v>21</v>
      </c>
      <c r="AN218" s="27">
        <f t="shared" si="213"/>
        <v>0</v>
      </c>
      <c r="AO218" s="27">
        <f t="shared" si="214"/>
        <v>0</v>
      </c>
      <c r="AP218" s="28" t="s">
        <v>13</v>
      </c>
      <c r="AU218" s="27">
        <f t="shared" si="204"/>
        <v>0</v>
      </c>
      <c r="AV218" s="27">
        <f t="shared" si="205"/>
        <v>0</v>
      </c>
      <c r="AW218" s="27">
        <f t="shared" si="206"/>
        <v>0</v>
      </c>
      <c r="AX218" s="29" t="s">
        <v>787</v>
      </c>
      <c r="AY218" s="29" t="s">
        <v>794</v>
      </c>
      <c r="AZ218" s="17" t="s">
        <v>796</v>
      </c>
      <c r="BB218" s="27">
        <f t="shared" si="207"/>
        <v>0</v>
      </c>
      <c r="BC218" s="27">
        <f t="shared" si="208"/>
        <v>0</v>
      </c>
      <c r="BD218" s="27">
        <v>0</v>
      </c>
      <c r="BE218" s="27">
        <f t="shared" si="209"/>
        <v>0</v>
      </c>
      <c r="BG218" s="26">
        <f t="shared" si="210"/>
        <v>0</v>
      </c>
      <c r="BH218" s="26">
        <f t="shared" si="211"/>
        <v>0</v>
      </c>
      <c r="BI218" s="26">
        <f t="shared" si="212"/>
        <v>0</v>
      </c>
    </row>
    <row r="219" spans="1:61" ht="12.75">
      <c r="A219" s="24" t="s">
        <v>193</v>
      </c>
      <c r="B219" s="25"/>
      <c r="C219" s="25" t="s">
        <v>442</v>
      </c>
      <c r="D219" s="25" t="s">
        <v>690</v>
      </c>
      <c r="E219" s="25" t="s">
        <v>753</v>
      </c>
      <c r="F219" s="26">
        <v>1</v>
      </c>
      <c r="G219" s="1">
        <v>0</v>
      </c>
      <c r="H219" s="26">
        <f t="shared" si="189"/>
        <v>0</v>
      </c>
      <c r="I219" s="26">
        <f t="shared" si="190"/>
        <v>0</v>
      </c>
      <c r="J219" s="26">
        <f t="shared" si="191"/>
        <v>0</v>
      </c>
      <c r="K219" s="26">
        <v>0</v>
      </c>
      <c r="L219" s="26">
        <f t="shared" si="192"/>
        <v>0</v>
      </c>
      <c r="Y219" s="27">
        <f t="shared" si="193"/>
        <v>0</v>
      </c>
      <c r="AA219" s="27">
        <f t="shared" si="194"/>
        <v>0</v>
      </c>
      <c r="AB219" s="27">
        <f t="shared" si="195"/>
        <v>0</v>
      </c>
      <c r="AC219" s="27">
        <f t="shared" si="196"/>
        <v>0</v>
      </c>
      <c r="AD219" s="27">
        <f t="shared" si="197"/>
        <v>0</v>
      </c>
      <c r="AE219" s="27">
        <f t="shared" si="198"/>
        <v>0</v>
      </c>
      <c r="AF219" s="27">
        <f t="shared" si="199"/>
        <v>0</v>
      </c>
      <c r="AG219" s="27">
        <f t="shared" si="200"/>
        <v>0</v>
      </c>
      <c r="AH219" s="17"/>
      <c r="AI219" s="26">
        <f t="shared" si="201"/>
        <v>0</v>
      </c>
      <c r="AJ219" s="26">
        <f t="shared" si="202"/>
        <v>0</v>
      </c>
      <c r="AK219" s="26">
        <f t="shared" si="203"/>
        <v>0</v>
      </c>
      <c r="AM219" s="27">
        <v>21</v>
      </c>
      <c r="AN219" s="27">
        <f t="shared" si="213"/>
        <v>0</v>
      </c>
      <c r="AO219" s="27">
        <f t="shared" si="214"/>
        <v>0</v>
      </c>
      <c r="AP219" s="28" t="s">
        <v>13</v>
      </c>
      <c r="AU219" s="27">
        <f t="shared" si="204"/>
        <v>0</v>
      </c>
      <c r="AV219" s="27">
        <f t="shared" si="205"/>
        <v>0</v>
      </c>
      <c r="AW219" s="27">
        <f t="shared" si="206"/>
        <v>0</v>
      </c>
      <c r="AX219" s="29" t="s">
        <v>787</v>
      </c>
      <c r="AY219" s="29" t="s">
        <v>794</v>
      </c>
      <c r="AZ219" s="17" t="s">
        <v>796</v>
      </c>
      <c r="BB219" s="27">
        <f t="shared" si="207"/>
        <v>0</v>
      </c>
      <c r="BC219" s="27">
        <f t="shared" si="208"/>
        <v>0</v>
      </c>
      <c r="BD219" s="27">
        <v>0</v>
      </c>
      <c r="BE219" s="27">
        <f t="shared" si="209"/>
        <v>0</v>
      </c>
      <c r="BG219" s="26">
        <f t="shared" si="210"/>
        <v>0</v>
      </c>
      <c r="BH219" s="26">
        <f t="shared" si="211"/>
        <v>0</v>
      </c>
      <c r="BI219" s="26">
        <f t="shared" si="212"/>
        <v>0</v>
      </c>
    </row>
    <row r="220" spans="1:61" ht="12.75">
      <c r="A220" s="24" t="s">
        <v>194</v>
      </c>
      <c r="B220" s="25"/>
      <c r="C220" s="25" t="s">
        <v>443</v>
      </c>
      <c r="D220" s="25" t="s">
        <v>691</v>
      </c>
      <c r="E220" s="25" t="s">
        <v>750</v>
      </c>
      <c r="F220" s="26">
        <v>1</v>
      </c>
      <c r="G220" s="1">
        <v>0</v>
      </c>
      <c r="H220" s="26">
        <f t="shared" si="189"/>
        <v>0</v>
      </c>
      <c r="I220" s="26">
        <f t="shared" si="190"/>
        <v>0</v>
      </c>
      <c r="J220" s="26">
        <f t="shared" si="191"/>
        <v>0</v>
      </c>
      <c r="K220" s="26">
        <v>0</v>
      </c>
      <c r="L220" s="26">
        <f t="shared" si="192"/>
        <v>0</v>
      </c>
      <c r="Y220" s="27">
        <f t="shared" si="193"/>
        <v>0</v>
      </c>
      <c r="AA220" s="27">
        <f t="shared" si="194"/>
        <v>0</v>
      </c>
      <c r="AB220" s="27">
        <f t="shared" si="195"/>
        <v>0</v>
      </c>
      <c r="AC220" s="27">
        <f t="shared" si="196"/>
        <v>0</v>
      </c>
      <c r="AD220" s="27">
        <f t="shared" si="197"/>
        <v>0</v>
      </c>
      <c r="AE220" s="27">
        <f t="shared" si="198"/>
        <v>0</v>
      </c>
      <c r="AF220" s="27">
        <f t="shared" si="199"/>
        <v>0</v>
      </c>
      <c r="AG220" s="27">
        <f t="shared" si="200"/>
        <v>0</v>
      </c>
      <c r="AH220" s="17"/>
      <c r="AI220" s="26">
        <f t="shared" si="201"/>
        <v>0</v>
      </c>
      <c r="AJ220" s="26">
        <f t="shared" si="202"/>
        <v>0</v>
      </c>
      <c r="AK220" s="26">
        <f t="shared" si="203"/>
        <v>0</v>
      </c>
      <c r="AM220" s="27">
        <v>21</v>
      </c>
      <c r="AN220" s="27">
        <f t="shared" si="213"/>
        <v>0</v>
      </c>
      <c r="AO220" s="27">
        <f t="shared" si="214"/>
        <v>0</v>
      </c>
      <c r="AP220" s="28" t="s">
        <v>13</v>
      </c>
      <c r="AU220" s="27">
        <f t="shared" si="204"/>
        <v>0</v>
      </c>
      <c r="AV220" s="27">
        <f t="shared" si="205"/>
        <v>0</v>
      </c>
      <c r="AW220" s="27">
        <f t="shared" si="206"/>
        <v>0</v>
      </c>
      <c r="AX220" s="29" t="s">
        <v>787</v>
      </c>
      <c r="AY220" s="29" t="s">
        <v>794</v>
      </c>
      <c r="AZ220" s="17" t="s">
        <v>796</v>
      </c>
      <c r="BB220" s="27">
        <f t="shared" si="207"/>
        <v>0</v>
      </c>
      <c r="BC220" s="27">
        <f t="shared" si="208"/>
        <v>0</v>
      </c>
      <c r="BD220" s="27">
        <v>0</v>
      </c>
      <c r="BE220" s="27">
        <f t="shared" si="209"/>
        <v>0</v>
      </c>
      <c r="BG220" s="26">
        <f t="shared" si="210"/>
        <v>0</v>
      </c>
      <c r="BH220" s="26">
        <f t="shared" si="211"/>
        <v>0</v>
      </c>
      <c r="BI220" s="26">
        <f t="shared" si="212"/>
        <v>0</v>
      </c>
    </row>
    <row r="221" spans="1:61" ht="12.75">
      <c r="A221" s="24" t="s">
        <v>195</v>
      </c>
      <c r="B221" s="25"/>
      <c r="C221" s="25" t="s">
        <v>444</v>
      </c>
      <c r="D221" s="25" t="s">
        <v>692</v>
      </c>
      <c r="E221" s="25" t="s">
        <v>750</v>
      </c>
      <c r="F221" s="26">
        <v>1</v>
      </c>
      <c r="G221" s="1">
        <v>0</v>
      </c>
      <c r="H221" s="26">
        <f t="shared" si="189"/>
        <v>0</v>
      </c>
      <c r="I221" s="26">
        <f t="shared" si="190"/>
        <v>0</v>
      </c>
      <c r="J221" s="26">
        <f t="shared" si="191"/>
        <v>0</v>
      </c>
      <c r="K221" s="26">
        <v>0</v>
      </c>
      <c r="L221" s="26">
        <f t="shared" si="192"/>
        <v>0</v>
      </c>
      <c r="Y221" s="27">
        <f t="shared" si="193"/>
        <v>0</v>
      </c>
      <c r="AA221" s="27">
        <f t="shared" si="194"/>
        <v>0</v>
      </c>
      <c r="AB221" s="27">
        <f t="shared" si="195"/>
        <v>0</v>
      </c>
      <c r="AC221" s="27">
        <f t="shared" si="196"/>
        <v>0</v>
      </c>
      <c r="AD221" s="27">
        <f t="shared" si="197"/>
        <v>0</v>
      </c>
      <c r="AE221" s="27">
        <f t="shared" si="198"/>
        <v>0</v>
      </c>
      <c r="AF221" s="27">
        <f t="shared" si="199"/>
        <v>0</v>
      </c>
      <c r="AG221" s="27">
        <f t="shared" si="200"/>
        <v>0</v>
      </c>
      <c r="AH221" s="17"/>
      <c r="AI221" s="26">
        <f t="shared" si="201"/>
        <v>0</v>
      </c>
      <c r="AJ221" s="26">
        <f t="shared" si="202"/>
        <v>0</v>
      </c>
      <c r="AK221" s="26">
        <f t="shared" si="203"/>
        <v>0</v>
      </c>
      <c r="AM221" s="27">
        <v>21</v>
      </c>
      <c r="AN221" s="27">
        <f t="shared" si="213"/>
        <v>0</v>
      </c>
      <c r="AO221" s="27">
        <f t="shared" si="214"/>
        <v>0</v>
      </c>
      <c r="AP221" s="28" t="s">
        <v>13</v>
      </c>
      <c r="AU221" s="27">
        <f t="shared" si="204"/>
        <v>0</v>
      </c>
      <c r="AV221" s="27">
        <f t="shared" si="205"/>
        <v>0</v>
      </c>
      <c r="AW221" s="27">
        <f t="shared" si="206"/>
        <v>0</v>
      </c>
      <c r="AX221" s="29" t="s">
        <v>787</v>
      </c>
      <c r="AY221" s="29" t="s">
        <v>794</v>
      </c>
      <c r="AZ221" s="17" t="s">
        <v>796</v>
      </c>
      <c r="BB221" s="27">
        <f t="shared" si="207"/>
        <v>0</v>
      </c>
      <c r="BC221" s="27">
        <f t="shared" si="208"/>
        <v>0</v>
      </c>
      <c r="BD221" s="27">
        <v>0</v>
      </c>
      <c r="BE221" s="27">
        <f t="shared" si="209"/>
        <v>0</v>
      </c>
      <c r="BG221" s="26">
        <f t="shared" si="210"/>
        <v>0</v>
      </c>
      <c r="BH221" s="26">
        <f t="shared" si="211"/>
        <v>0</v>
      </c>
      <c r="BI221" s="26">
        <f t="shared" si="212"/>
        <v>0</v>
      </c>
    </row>
    <row r="222" spans="1:61" ht="12.75">
      <c r="A222" s="24" t="s">
        <v>196</v>
      </c>
      <c r="B222" s="25"/>
      <c r="C222" s="25" t="s">
        <v>445</v>
      </c>
      <c r="D222" s="25" t="s">
        <v>693</v>
      </c>
      <c r="E222" s="25" t="s">
        <v>750</v>
      </c>
      <c r="F222" s="26">
        <v>1</v>
      </c>
      <c r="G222" s="1">
        <v>0</v>
      </c>
      <c r="H222" s="26">
        <f t="shared" si="189"/>
        <v>0</v>
      </c>
      <c r="I222" s="26">
        <f t="shared" si="190"/>
        <v>0</v>
      </c>
      <c r="J222" s="26">
        <f t="shared" si="191"/>
        <v>0</v>
      </c>
      <c r="K222" s="26">
        <v>0</v>
      </c>
      <c r="L222" s="26">
        <f t="shared" si="192"/>
        <v>0</v>
      </c>
      <c r="Y222" s="27">
        <f t="shared" si="193"/>
        <v>0</v>
      </c>
      <c r="AA222" s="27">
        <f t="shared" si="194"/>
        <v>0</v>
      </c>
      <c r="AB222" s="27">
        <f t="shared" si="195"/>
        <v>0</v>
      </c>
      <c r="AC222" s="27">
        <f t="shared" si="196"/>
        <v>0</v>
      </c>
      <c r="AD222" s="27">
        <f t="shared" si="197"/>
        <v>0</v>
      </c>
      <c r="AE222" s="27">
        <f t="shared" si="198"/>
        <v>0</v>
      </c>
      <c r="AF222" s="27">
        <f t="shared" si="199"/>
        <v>0</v>
      </c>
      <c r="AG222" s="27">
        <f t="shared" si="200"/>
        <v>0</v>
      </c>
      <c r="AH222" s="17"/>
      <c r="AI222" s="26">
        <f t="shared" si="201"/>
        <v>0</v>
      </c>
      <c r="AJ222" s="26">
        <f t="shared" si="202"/>
        <v>0</v>
      </c>
      <c r="AK222" s="26">
        <f t="shared" si="203"/>
        <v>0</v>
      </c>
      <c r="AM222" s="27">
        <v>21</v>
      </c>
      <c r="AN222" s="27">
        <f t="shared" si="213"/>
        <v>0</v>
      </c>
      <c r="AO222" s="27">
        <f t="shared" si="214"/>
        <v>0</v>
      </c>
      <c r="AP222" s="28" t="s">
        <v>13</v>
      </c>
      <c r="AU222" s="27">
        <f t="shared" si="204"/>
        <v>0</v>
      </c>
      <c r="AV222" s="27">
        <f t="shared" si="205"/>
        <v>0</v>
      </c>
      <c r="AW222" s="27">
        <f t="shared" si="206"/>
        <v>0</v>
      </c>
      <c r="AX222" s="29" t="s">
        <v>787</v>
      </c>
      <c r="AY222" s="29" t="s">
        <v>794</v>
      </c>
      <c r="AZ222" s="17" t="s">
        <v>796</v>
      </c>
      <c r="BB222" s="27">
        <f t="shared" si="207"/>
        <v>0</v>
      </c>
      <c r="BC222" s="27">
        <f t="shared" si="208"/>
        <v>0</v>
      </c>
      <c r="BD222" s="27">
        <v>0</v>
      </c>
      <c r="BE222" s="27">
        <f t="shared" si="209"/>
        <v>0</v>
      </c>
      <c r="BG222" s="26">
        <f t="shared" si="210"/>
        <v>0</v>
      </c>
      <c r="BH222" s="26">
        <f t="shared" si="211"/>
        <v>0</v>
      </c>
      <c r="BI222" s="26">
        <f t="shared" si="212"/>
        <v>0</v>
      </c>
    </row>
    <row r="223" spans="1:61" ht="12.75">
      <c r="A223" s="24" t="s">
        <v>197</v>
      </c>
      <c r="B223" s="25"/>
      <c r="C223" s="25" t="s">
        <v>446</v>
      </c>
      <c r="D223" s="25" t="s">
        <v>694</v>
      </c>
      <c r="E223" s="25" t="s">
        <v>750</v>
      </c>
      <c r="F223" s="26">
        <v>1</v>
      </c>
      <c r="G223" s="1">
        <v>0</v>
      </c>
      <c r="H223" s="26">
        <f t="shared" si="189"/>
        <v>0</v>
      </c>
      <c r="I223" s="26">
        <f t="shared" si="190"/>
        <v>0</v>
      </c>
      <c r="J223" s="26">
        <f t="shared" si="191"/>
        <v>0</v>
      </c>
      <c r="K223" s="26">
        <v>1E-05</v>
      </c>
      <c r="L223" s="26">
        <f t="shared" si="192"/>
        <v>1E-05</v>
      </c>
      <c r="Y223" s="27">
        <f t="shared" si="193"/>
        <v>0</v>
      </c>
      <c r="AA223" s="27">
        <f t="shared" si="194"/>
        <v>0</v>
      </c>
      <c r="AB223" s="27">
        <f t="shared" si="195"/>
        <v>0</v>
      </c>
      <c r="AC223" s="27">
        <f t="shared" si="196"/>
        <v>0</v>
      </c>
      <c r="AD223" s="27">
        <f t="shared" si="197"/>
        <v>0</v>
      </c>
      <c r="AE223" s="27">
        <f t="shared" si="198"/>
        <v>0</v>
      </c>
      <c r="AF223" s="27">
        <f t="shared" si="199"/>
        <v>0</v>
      </c>
      <c r="AG223" s="27">
        <f t="shared" si="200"/>
        <v>0</v>
      </c>
      <c r="AH223" s="17"/>
      <c r="AI223" s="26">
        <f t="shared" si="201"/>
        <v>0</v>
      </c>
      <c r="AJ223" s="26">
        <f t="shared" si="202"/>
        <v>0</v>
      </c>
      <c r="AK223" s="26">
        <f t="shared" si="203"/>
        <v>0</v>
      </c>
      <c r="AM223" s="27">
        <v>21</v>
      </c>
      <c r="AN223" s="27">
        <f>G223*0.0513903555086237</f>
        <v>0</v>
      </c>
      <c r="AO223" s="27">
        <f>G223*(1-0.0513903555086237)</f>
        <v>0</v>
      </c>
      <c r="AP223" s="28" t="s">
        <v>13</v>
      </c>
      <c r="AU223" s="27">
        <f t="shared" si="204"/>
        <v>0</v>
      </c>
      <c r="AV223" s="27">
        <f t="shared" si="205"/>
        <v>0</v>
      </c>
      <c r="AW223" s="27">
        <f t="shared" si="206"/>
        <v>0</v>
      </c>
      <c r="AX223" s="29" t="s">
        <v>787</v>
      </c>
      <c r="AY223" s="29" t="s">
        <v>794</v>
      </c>
      <c r="AZ223" s="17" t="s">
        <v>796</v>
      </c>
      <c r="BB223" s="27">
        <f t="shared" si="207"/>
        <v>0</v>
      </c>
      <c r="BC223" s="27">
        <f t="shared" si="208"/>
        <v>0</v>
      </c>
      <c r="BD223" s="27">
        <v>0</v>
      </c>
      <c r="BE223" s="27">
        <f t="shared" si="209"/>
        <v>1E-05</v>
      </c>
      <c r="BG223" s="26">
        <f t="shared" si="210"/>
        <v>0</v>
      </c>
      <c r="BH223" s="26">
        <f t="shared" si="211"/>
        <v>0</v>
      </c>
      <c r="BI223" s="26">
        <f t="shared" si="212"/>
        <v>0</v>
      </c>
    </row>
    <row r="224" spans="1:61" ht="12.75">
      <c r="A224" s="24" t="s">
        <v>198</v>
      </c>
      <c r="B224" s="25"/>
      <c r="C224" s="25" t="s">
        <v>447</v>
      </c>
      <c r="D224" s="25" t="s">
        <v>695</v>
      </c>
      <c r="E224" s="25" t="s">
        <v>750</v>
      </c>
      <c r="F224" s="26">
        <v>1</v>
      </c>
      <c r="G224" s="1">
        <v>0</v>
      </c>
      <c r="H224" s="26">
        <f t="shared" si="189"/>
        <v>0</v>
      </c>
      <c r="I224" s="26">
        <f t="shared" si="190"/>
        <v>0</v>
      </c>
      <c r="J224" s="26">
        <f t="shared" si="191"/>
        <v>0</v>
      </c>
      <c r="K224" s="26">
        <v>0.00031</v>
      </c>
      <c r="L224" s="26">
        <f t="shared" si="192"/>
        <v>0.00031</v>
      </c>
      <c r="Y224" s="27">
        <f t="shared" si="193"/>
        <v>0</v>
      </c>
      <c r="AA224" s="27">
        <f t="shared" si="194"/>
        <v>0</v>
      </c>
      <c r="AB224" s="27">
        <f t="shared" si="195"/>
        <v>0</v>
      </c>
      <c r="AC224" s="27">
        <f t="shared" si="196"/>
        <v>0</v>
      </c>
      <c r="AD224" s="27">
        <f t="shared" si="197"/>
        <v>0</v>
      </c>
      <c r="AE224" s="27">
        <f t="shared" si="198"/>
        <v>0</v>
      </c>
      <c r="AF224" s="27">
        <f t="shared" si="199"/>
        <v>0</v>
      </c>
      <c r="AG224" s="27">
        <f t="shared" si="200"/>
        <v>0</v>
      </c>
      <c r="AH224" s="17"/>
      <c r="AI224" s="26">
        <f t="shared" si="201"/>
        <v>0</v>
      </c>
      <c r="AJ224" s="26">
        <f t="shared" si="202"/>
        <v>0</v>
      </c>
      <c r="AK224" s="26">
        <f t="shared" si="203"/>
        <v>0</v>
      </c>
      <c r="AM224" s="27">
        <v>21</v>
      </c>
      <c r="AN224" s="27">
        <f>G224*0.0992982456140351</f>
        <v>0</v>
      </c>
      <c r="AO224" s="27">
        <f>G224*(1-0.0992982456140351)</f>
        <v>0</v>
      </c>
      <c r="AP224" s="28" t="s">
        <v>13</v>
      </c>
      <c r="AU224" s="27">
        <f t="shared" si="204"/>
        <v>0</v>
      </c>
      <c r="AV224" s="27">
        <f t="shared" si="205"/>
        <v>0</v>
      </c>
      <c r="AW224" s="27">
        <f t="shared" si="206"/>
        <v>0</v>
      </c>
      <c r="AX224" s="29" t="s">
        <v>787</v>
      </c>
      <c r="AY224" s="29" t="s">
        <v>794</v>
      </c>
      <c r="AZ224" s="17" t="s">
        <v>796</v>
      </c>
      <c r="BB224" s="27">
        <f t="shared" si="207"/>
        <v>0</v>
      </c>
      <c r="BC224" s="27">
        <f t="shared" si="208"/>
        <v>0</v>
      </c>
      <c r="BD224" s="27">
        <v>0</v>
      </c>
      <c r="BE224" s="27">
        <f t="shared" si="209"/>
        <v>0.00031</v>
      </c>
      <c r="BG224" s="26">
        <f t="shared" si="210"/>
        <v>0</v>
      </c>
      <c r="BH224" s="26">
        <f t="shared" si="211"/>
        <v>0</v>
      </c>
      <c r="BI224" s="26">
        <f t="shared" si="212"/>
        <v>0</v>
      </c>
    </row>
    <row r="225" spans="1:61" ht="12.75">
      <c r="A225" s="24" t="s">
        <v>199</v>
      </c>
      <c r="B225" s="25"/>
      <c r="C225" s="25" t="s">
        <v>448</v>
      </c>
      <c r="D225" s="25" t="s">
        <v>696</v>
      </c>
      <c r="E225" s="25" t="s">
        <v>750</v>
      </c>
      <c r="F225" s="26">
        <v>1</v>
      </c>
      <c r="G225" s="1">
        <v>0</v>
      </c>
      <c r="H225" s="26">
        <f t="shared" si="189"/>
        <v>0</v>
      </c>
      <c r="I225" s="26">
        <f t="shared" si="190"/>
        <v>0</v>
      </c>
      <c r="J225" s="26">
        <f t="shared" si="191"/>
        <v>0</v>
      </c>
      <c r="K225" s="26">
        <v>0.00015</v>
      </c>
      <c r="L225" s="26">
        <f t="shared" si="192"/>
        <v>0.00015</v>
      </c>
      <c r="Y225" s="27">
        <f t="shared" si="193"/>
        <v>0</v>
      </c>
      <c r="AA225" s="27">
        <f t="shared" si="194"/>
        <v>0</v>
      </c>
      <c r="AB225" s="27">
        <f t="shared" si="195"/>
        <v>0</v>
      </c>
      <c r="AC225" s="27">
        <f t="shared" si="196"/>
        <v>0</v>
      </c>
      <c r="AD225" s="27">
        <f t="shared" si="197"/>
        <v>0</v>
      </c>
      <c r="AE225" s="27">
        <f t="shared" si="198"/>
        <v>0</v>
      </c>
      <c r="AF225" s="27">
        <f t="shared" si="199"/>
        <v>0</v>
      </c>
      <c r="AG225" s="27">
        <f t="shared" si="200"/>
        <v>0</v>
      </c>
      <c r="AH225" s="17"/>
      <c r="AI225" s="26">
        <f t="shared" si="201"/>
        <v>0</v>
      </c>
      <c r="AJ225" s="26">
        <f t="shared" si="202"/>
        <v>0</v>
      </c>
      <c r="AK225" s="26">
        <f t="shared" si="203"/>
        <v>0</v>
      </c>
      <c r="AM225" s="27">
        <v>21</v>
      </c>
      <c r="AN225" s="27">
        <f>G225*0.370258302583026</f>
        <v>0</v>
      </c>
      <c r="AO225" s="27">
        <f>G225*(1-0.370258302583026)</f>
        <v>0</v>
      </c>
      <c r="AP225" s="28" t="s">
        <v>13</v>
      </c>
      <c r="AU225" s="27">
        <f t="shared" si="204"/>
        <v>0</v>
      </c>
      <c r="AV225" s="27">
        <f t="shared" si="205"/>
        <v>0</v>
      </c>
      <c r="AW225" s="27">
        <f t="shared" si="206"/>
        <v>0</v>
      </c>
      <c r="AX225" s="29" t="s">
        <v>787</v>
      </c>
      <c r="AY225" s="29" t="s">
        <v>794</v>
      </c>
      <c r="AZ225" s="17" t="s">
        <v>796</v>
      </c>
      <c r="BB225" s="27">
        <f t="shared" si="207"/>
        <v>0</v>
      </c>
      <c r="BC225" s="27">
        <f t="shared" si="208"/>
        <v>0</v>
      </c>
      <c r="BD225" s="27">
        <v>0</v>
      </c>
      <c r="BE225" s="27">
        <f t="shared" si="209"/>
        <v>0.00015</v>
      </c>
      <c r="BG225" s="26">
        <f t="shared" si="210"/>
        <v>0</v>
      </c>
      <c r="BH225" s="26">
        <f t="shared" si="211"/>
        <v>0</v>
      </c>
      <c r="BI225" s="26">
        <f t="shared" si="212"/>
        <v>0</v>
      </c>
    </row>
    <row r="226" spans="1:61" ht="12.75">
      <c r="A226" s="24" t="s">
        <v>200</v>
      </c>
      <c r="B226" s="25"/>
      <c r="C226" s="25" t="s">
        <v>420</v>
      </c>
      <c r="D226" s="25" t="s">
        <v>668</v>
      </c>
      <c r="E226" s="25" t="s">
        <v>750</v>
      </c>
      <c r="F226" s="26">
        <v>1</v>
      </c>
      <c r="G226" s="1">
        <v>0</v>
      </c>
      <c r="H226" s="26">
        <f t="shared" si="189"/>
        <v>0</v>
      </c>
      <c r="I226" s="26">
        <f t="shared" si="190"/>
        <v>0</v>
      </c>
      <c r="J226" s="26">
        <f t="shared" si="191"/>
        <v>0</v>
      </c>
      <c r="K226" s="26">
        <v>0.00022</v>
      </c>
      <c r="L226" s="26">
        <f t="shared" si="192"/>
        <v>0.00022</v>
      </c>
      <c r="Y226" s="27">
        <f t="shared" si="193"/>
        <v>0</v>
      </c>
      <c r="AA226" s="27">
        <f t="shared" si="194"/>
        <v>0</v>
      </c>
      <c r="AB226" s="27">
        <f t="shared" si="195"/>
        <v>0</v>
      </c>
      <c r="AC226" s="27">
        <f t="shared" si="196"/>
        <v>0</v>
      </c>
      <c r="AD226" s="27">
        <f t="shared" si="197"/>
        <v>0</v>
      </c>
      <c r="AE226" s="27">
        <f t="shared" si="198"/>
        <v>0</v>
      </c>
      <c r="AF226" s="27">
        <f t="shared" si="199"/>
        <v>0</v>
      </c>
      <c r="AG226" s="27">
        <f t="shared" si="200"/>
        <v>0</v>
      </c>
      <c r="AH226" s="17"/>
      <c r="AI226" s="26">
        <f t="shared" si="201"/>
        <v>0</v>
      </c>
      <c r="AJ226" s="26">
        <f t="shared" si="202"/>
        <v>0</v>
      </c>
      <c r="AK226" s="26">
        <f t="shared" si="203"/>
        <v>0</v>
      </c>
      <c r="AM226" s="27">
        <v>21</v>
      </c>
      <c r="AN226" s="27">
        <f>G226*0.223854613392213</f>
        <v>0</v>
      </c>
      <c r="AO226" s="27">
        <f>G226*(1-0.223854613392213)</f>
        <v>0</v>
      </c>
      <c r="AP226" s="28" t="s">
        <v>13</v>
      </c>
      <c r="AU226" s="27">
        <f t="shared" si="204"/>
        <v>0</v>
      </c>
      <c r="AV226" s="27">
        <f t="shared" si="205"/>
        <v>0</v>
      </c>
      <c r="AW226" s="27">
        <f t="shared" si="206"/>
        <v>0</v>
      </c>
      <c r="AX226" s="29" t="s">
        <v>787</v>
      </c>
      <c r="AY226" s="29" t="s">
        <v>794</v>
      </c>
      <c r="AZ226" s="17" t="s">
        <v>796</v>
      </c>
      <c r="BB226" s="27">
        <f t="shared" si="207"/>
        <v>0</v>
      </c>
      <c r="BC226" s="27">
        <f t="shared" si="208"/>
        <v>0</v>
      </c>
      <c r="BD226" s="27">
        <v>0</v>
      </c>
      <c r="BE226" s="27">
        <f t="shared" si="209"/>
        <v>0.00022</v>
      </c>
      <c r="BG226" s="26">
        <f t="shared" si="210"/>
        <v>0</v>
      </c>
      <c r="BH226" s="26">
        <f t="shared" si="211"/>
        <v>0</v>
      </c>
      <c r="BI226" s="26">
        <f t="shared" si="212"/>
        <v>0</v>
      </c>
    </row>
    <row r="227" spans="1:61" ht="12.75">
      <c r="A227" s="24" t="s">
        <v>201</v>
      </c>
      <c r="B227" s="25"/>
      <c r="C227" s="25" t="s">
        <v>449</v>
      </c>
      <c r="D227" s="25" t="s">
        <v>697</v>
      </c>
      <c r="E227" s="25" t="s">
        <v>750</v>
      </c>
      <c r="F227" s="26">
        <v>1</v>
      </c>
      <c r="G227" s="1">
        <v>0</v>
      </c>
      <c r="H227" s="26">
        <f t="shared" si="189"/>
        <v>0</v>
      </c>
      <c r="I227" s="26">
        <f t="shared" si="190"/>
        <v>0</v>
      </c>
      <c r="J227" s="26">
        <f t="shared" si="191"/>
        <v>0</v>
      </c>
      <c r="K227" s="26">
        <v>1E-05</v>
      </c>
      <c r="L227" s="26">
        <f t="shared" si="192"/>
        <v>1E-05</v>
      </c>
      <c r="Y227" s="27">
        <f t="shared" si="193"/>
        <v>0</v>
      </c>
      <c r="AA227" s="27">
        <f t="shared" si="194"/>
        <v>0</v>
      </c>
      <c r="AB227" s="27">
        <f t="shared" si="195"/>
        <v>0</v>
      </c>
      <c r="AC227" s="27">
        <f t="shared" si="196"/>
        <v>0</v>
      </c>
      <c r="AD227" s="27">
        <f t="shared" si="197"/>
        <v>0</v>
      </c>
      <c r="AE227" s="27">
        <f t="shared" si="198"/>
        <v>0</v>
      </c>
      <c r="AF227" s="27">
        <f t="shared" si="199"/>
        <v>0</v>
      </c>
      <c r="AG227" s="27">
        <f t="shared" si="200"/>
        <v>0</v>
      </c>
      <c r="AH227" s="17"/>
      <c r="AI227" s="26">
        <f t="shared" si="201"/>
        <v>0</v>
      </c>
      <c r="AJ227" s="26">
        <f t="shared" si="202"/>
        <v>0</v>
      </c>
      <c r="AK227" s="26">
        <f t="shared" si="203"/>
        <v>0</v>
      </c>
      <c r="AM227" s="27">
        <v>21</v>
      </c>
      <c r="AN227" s="27">
        <f>G227*0.0633333333333333</f>
        <v>0</v>
      </c>
      <c r="AO227" s="27">
        <f>G227*(1-0.0633333333333333)</f>
        <v>0</v>
      </c>
      <c r="AP227" s="28" t="s">
        <v>13</v>
      </c>
      <c r="AU227" s="27">
        <f t="shared" si="204"/>
        <v>0</v>
      </c>
      <c r="AV227" s="27">
        <f t="shared" si="205"/>
        <v>0</v>
      </c>
      <c r="AW227" s="27">
        <f t="shared" si="206"/>
        <v>0</v>
      </c>
      <c r="AX227" s="29" t="s">
        <v>787</v>
      </c>
      <c r="AY227" s="29" t="s">
        <v>794</v>
      </c>
      <c r="AZ227" s="17" t="s">
        <v>796</v>
      </c>
      <c r="BB227" s="27">
        <f t="shared" si="207"/>
        <v>0</v>
      </c>
      <c r="BC227" s="27">
        <f t="shared" si="208"/>
        <v>0</v>
      </c>
      <c r="BD227" s="27">
        <v>0</v>
      </c>
      <c r="BE227" s="27">
        <f t="shared" si="209"/>
        <v>1E-05</v>
      </c>
      <c r="BG227" s="26">
        <f t="shared" si="210"/>
        <v>0</v>
      </c>
      <c r="BH227" s="26">
        <f t="shared" si="211"/>
        <v>0</v>
      </c>
      <c r="BI227" s="26">
        <f t="shared" si="212"/>
        <v>0</v>
      </c>
    </row>
    <row r="228" spans="1:61" ht="12.75">
      <c r="A228" s="24" t="s">
        <v>202</v>
      </c>
      <c r="B228" s="25"/>
      <c r="C228" s="25" t="s">
        <v>423</v>
      </c>
      <c r="D228" s="25" t="s">
        <v>671</v>
      </c>
      <c r="E228" s="25" t="s">
        <v>750</v>
      </c>
      <c r="F228" s="26">
        <v>1</v>
      </c>
      <c r="G228" s="1">
        <v>0</v>
      </c>
      <c r="H228" s="26">
        <f t="shared" si="189"/>
        <v>0</v>
      </c>
      <c r="I228" s="26">
        <f t="shared" si="190"/>
        <v>0</v>
      </c>
      <c r="J228" s="26">
        <f t="shared" si="191"/>
        <v>0</v>
      </c>
      <c r="K228" s="26">
        <v>7E-05</v>
      </c>
      <c r="L228" s="26">
        <f t="shared" si="192"/>
        <v>7E-05</v>
      </c>
      <c r="Y228" s="27">
        <f t="shared" si="193"/>
        <v>0</v>
      </c>
      <c r="AA228" s="27">
        <f t="shared" si="194"/>
        <v>0</v>
      </c>
      <c r="AB228" s="27">
        <f t="shared" si="195"/>
        <v>0</v>
      </c>
      <c r="AC228" s="27">
        <f t="shared" si="196"/>
        <v>0</v>
      </c>
      <c r="AD228" s="27">
        <f t="shared" si="197"/>
        <v>0</v>
      </c>
      <c r="AE228" s="27">
        <f t="shared" si="198"/>
        <v>0</v>
      </c>
      <c r="AF228" s="27">
        <f t="shared" si="199"/>
        <v>0</v>
      </c>
      <c r="AG228" s="27">
        <f t="shared" si="200"/>
        <v>0</v>
      </c>
      <c r="AH228" s="17"/>
      <c r="AI228" s="26">
        <f t="shared" si="201"/>
        <v>0</v>
      </c>
      <c r="AJ228" s="26">
        <f t="shared" si="202"/>
        <v>0</v>
      </c>
      <c r="AK228" s="26">
        <f t="shared" si="203"/>
        <v>0</v>
      </c>
      <c r="AM228" s="27">
        <v>21</v>
      </c>
      <c r="AN228" s="27">
        <f>G228*0.0694300518134715</f>
        <v>0</v>
      </c>
      <c r="AO228" s="27">
        <f>G228*(1-0.0694300518134715)</f>
        <v>0</v>
      </c>
      <c r="AP228" s="28" t="s">
        <v>13</v>
      </c>
      <c r="AU228" s="27">
        <f t="shared" si="204"/>
        <v>0</v>
      </c>
      <c r="AV228" s="27">
        <f t="shared" si="205"/>
        <v>0</v>
      </c>
      <c r="AW228" s="27">
        <f t="shared" si="206"/>
        <v>0</v>
      </c>
      <c r="AX228" s="29" t="s">
        <v>787</v>
      </c>
      <c r="AY228" s="29" t="s">
        <v>794</v>
      </c>
      <c r="AZ228" s="17" t="s">
        <v>796</v>
      </c>
      <c r="BB228" s="27">
        <f t="shared" si="207"/>
        <v>0</v>
      </c>
      <c r="BC228" s="27">
        <f t="shared" si="208"/>
        <v>0</v>
      </c>
      <c r="BD228" s="27">
        <v>0</v>
      </c>
      <c r="BE228" s="27">
        <f t="shared" si="209"/>
        <v>7E-05</v>
      </c>
      <c r="BG228" s="26">
        <f t="shared" si="210"/>
        <v>0</v>
      </c>
      <c r="BH228" s="26">
        <f t="shared" si="211"/>
        <v>0</v>
      </c>
      <c r="BI228" s="26">
        <f t="shared" si="212"/>
        <v>0</v>
      </c>
    </row>
    <row r="229" spans="1:61" ht="12.75">
      <c r="A229" s="24" t="s">
        <v>203</v>
      </c>
      <c r="B229" s="25"/>
      <c r="C229" s="25" t="s">
        <v>450</v>
      </c>
      <c r="D229" s="25" t="s">
        <v>698</v>
      </c>
      <c r="E229" s="25" t="s">
        <v>750</v>
      </c>
      <c r="F229" s="26">
        <v>1</v>
      </c>
      <c r="G229" s="1">
        <v>0</v>
      </c>
      <c r="H229" s="26">
        <f t="shared" si="189"/>
        <v>0</v>
      </c>
      <c r="I229" s="26">
        <f t="shared" si="190"/>
        <v>0</v>
      </c>
      <c r="J229" s="26">
        <f t="shared" si="191"/>
        <v>0</v>
      </c>
      <c r="K229" s="26">
        <v>0.00025</v>
      </c>
      <c r="L229" s="26">
        <f t="shared" si="192"/>
        <v>0.00025</v>
      </c>
      <c r="Y229" s="27">
        <f t="shared" si="193"/>
        <v>0</v>
      </c>
      <c r="AA229" s="27">
        <f t="shared" si="194"/>
        <v>0</v>
      </c>
      <c r="AB229" s="27">
        <f t="shared" si="195"/>
        <v>0</v>
      </c>
      <c r="AC229" s="27">
        <f t="shared" si="196"/>
        <v>0</v>
      </c>
      <c r="AD229" s="27">
        <f t="shared" si="197"/>
        <v>0</v>
      </c>
      <c r="AE229" s="27">
        <f t="shared" si="198"/>
        <v>0</v>
      </c>
      <c r="AF229" s="27">
        <f t="shared" si="199"/>
        <v>0</v>
      </c>
      <c r="AG229" s="27">
        <f t="shared" si="200"/>
        <v>0</v>
      </c>
      <c r="AH229" s="17"/>
      <c r="AI229" s="26">
        <f t="shared" si="201"/>
        <v>0</v>
      </c>
      <c r="AJ229" s="26">
        <f t="shared" si="202"/>
        <v>0</v>
      </c>
      <c r="AK229" s="26">
        <f t="shared" si="203"/>
        <v>0</v>
      </c>
      <c r="AM229" s="27">
        <v>21</v>
      </c>
      <c r="AN229" s="27">
        <f>G229*0.172901982047111</f>
        <v>0</v>
      </c>
      <c r="AO229" s="27">
        <f>G229*(1-0.172901982047111)</f>
        <v>0</v>
      </c>
      <c r="AP229" s="28" t="s">
        <v>13</v>
      </c>
      <c r="AU229" s="27">
        <f t="shared" si="204"/>
        <v>0</v>
      </c>
      <c r="AV229" s="27">
        <f t="shared" si="205"/>
        <v>0</v>
      </c>
      <c r="AW229" s="27">
        <f t="shared" si="206"/>
        <v>0</v>
      </c>
      <c r="AX229" s="29" t="s">
        <v>787</v>
      </c>
      <c r="AY229" s="29" t="s">
        <v>794</v>
      </c>
      <c r="AZ229" s="17" t="s">
        <v>796</v>
      </c>
      <c r="BB229" s="27">
        <f t="shared" si="207"/>
        <v>0</v>
      </c>
      <c r="BC229" s="27">
        <f t="shared" si="208"/>
        <v>0</v>
      </c>
      <c r="BD229" s="27">
        <v>0</v>
      </c>
      <c r="BE229" s="27">
        <f t="shared" si="209"/>
        <v>0.00025</v>
      </c>
      <c r="BG229" s="26">
        <f t="shared" si="210"/>
        <v>0</v>
      </c>
      <c r="BH229" s="26">
        <f t="shared" si="211"/>
        <v>0</v>
      </c>
      <c r="BI229" s="26">
        <f t="shared" si="212"/>
        <v>0</v>
      </c>
    </row>
    <row r="230" spans="1:61" ht="12.75">
      <c r="A230" s="24" t="s">
        <v>204</v>
      </c>
      <c r="B230" s="25"/>
      <c r="C230" s="25" t="s">
        <v>451</v>
      </c>
      <c r="D230" s="25" t="s">
        <v>699</v>
      </c>
      <c r="E230" s="25" t="s">
        <v>750</v>
      </c>
      <c r="F230" s="26">
        <v>1</v>
      </c>
      <c r="G230" s="1">
        <v>0</v>
      </c>
      <c r="H230" s="26">
        <f t="shared" si="189"/>
        <v>0</v>
      </c>
      <c r="I230" s="26">
        <f t="shared" si="190"/>
        <v>0</v>
      </c>
      <c r="J230" s="26">
        <f t="shared" si="191"/>
        <v>0</v>
      </c>
      <c r="K230" s="26">
        <v>0.00023</v>
      </c>
      <c r="L230" s="26">
        <f t="shared" si="192"/>
        <v>0.00023</v>
      </c>
      <c r="Y230" s="27">
        <f t="shared" si="193"/>
        <v>0</v>
      </c>
      <c r="AA230" s="27">
        <f t="shared" si="194"/>
        <v>0</v>
      </c>
      <c r="AB230" s="27">
        <f t="shared" si="195"/>
        <v>0</v>
      </c>
      <c r="AC230" s="27">
        <f t="shared" si="196"/>
        <v>0</v>
      </c>
      <c r="AD230" s="27">
        <f t="shared" si="197"/>
        <v>0</v>
      </c>
      <c r="AE230" s="27">
        <f t="shared" si="198"/>
        <v>0</v>
      </c>
      <c r="AF230" s="27">
        <f t="shared" si="199"/>
        <v>0</v>
      </c>
      <c r="AG230" s="27">
        <f t="shared" si="200"/>
        <v>0</v>
      </c>
      <c r="AH230" s="17"/>
      <c r="AI230" s="26">
        <f t="shared" si="201"/>
        <v>0</v>
      </c>
      <c r="AJ230" s="26">
        <f t="shared" si="202"/>
        <v>0</v>
      </c>
      <c r="AK230" s="26">
        <f t="shared" si="203"/>
        <v>0</v>
      </c>
      <c r="AM230" s="27">
        <v>21</v>
      </c>
      <c r="AN230" s="27">
        <f>G230*0.242220353238015</f>
        <v>0</v>
      </c>
      <c r="AO230" s="27">
        <f>G230*(1-0.242220353238015)</f>
        <v>0</v>
      </c>
      <c r="AP230" s="28" t="s">
        <v>13</v>
      </c>
      <c r="AU230" s="27">
        <f t="shared" si="204"/>
        <v>0</v>
      </c>
      <c r="AV230" s="27">
        <f t="shared" si="205"/>
        <v>0</v>
      </c>
      <c r="AW230" s="27">
        <f t="shared" si="206"/>
        <v>0</v>
      </c>
      <c r="AX230" s="29" t="s">
        <v>787</v>
      </c>
      <c r="AY230" s="29" t="s">
        <v>794</v>
      </c>
      <c r="AZ230" s="17" t="s">
        <v>796</v>
      </c>
      <c r="BB230" s="27">
        <f t="shared" si="207"/>
        <v>0</v>
      </c>
      <c r="BC230" s="27">
        <f t="shared" si="208"/>
        <v>0</v>
      </c>
      <c r="BD230" s="27">
        <v>0</v>
      </c>
      <c r="BE230" s="27">
        <f t="shared" si="209"/>
        <v>0.00023</v>
      </c>
      <c r="BG230" s="26">
        <f t="shared" si="210"/>
        <v>0</v>
      </c>
      <c r="BH230" s="26">
        <f t="shared" si="211"/>
        <v>0</v>
      </c>
      <c r="BI230" s="26">
        <f t="shared" si="212"/>
        <v>0</v>
      </c>
    </row>
    <row r="231" spans="1:61" ht="12.75">
      <c r="A231" s="24" t="s">
        <v>205</v>
      </c>
      <c r="B231" s="25"/>
      <c r="C231" s="25" t="s">
        <v>452</v>
      </c>
      <c r="D231" s="25" t="s">
        <v>700</v>
      </c>
      <c r="E231" s="25" t="s">
        <v>750</v>
      </c>
      <c r="F231" s="26">
        <v>1</v>
      </c>
      <c r="G231" s="1">
        <v>0</v>
      </c>
      <c r="H231" s="26">
        <f t="shared" si="189"/>
        <v>0</v>
      </c>
      <c r="I231" s="26">
        <f t="shared" si="190"/>
        <v>0</v>
      </c>
      <c r="J231" s="26">
        <f t="shared" si="191"/>
        <v>0</v>
      </c>
      <c r="K231" s="26">
        <v>0.00045</v>
      </c>
      <c r="L231" s="26">
        <f t="shared" si="192"/>
        <v>0.00045</v>
      </c>
      <c r="Y231" s="27">
        <f t="shared" si="193"/>
        <v>0</v>
      </c>
      <c r="AA231" s="27">
        <f t="shared" si="194"/>
        <v>0</v>
      </c>
      <c r="AB231" s="27">
        <f t="shared" si="195"/>
        <v>0</v>
      </c>
      <c r="AC231" s="27">
        <f t="shared" si="196"/>
        <v>0</v>
      </c>
      <c r="AD231" s="27">
        <f t="shared" si="197"/>
        <v>0</v>
      </c>
      <c r="AE231" s="27">
        <f t="shared" si="198"/>
        <v>0</v>
      </c>
      <c r="AF231" s="27">
        <f t="shared" si="199"/>
        <v>0</v>
      </c>
      <c r="AG231" s="27">
        <f t="shared" si="200"/>
        <v>0</v>
      </c>
      <c r="AH231" s="17"/>
      <c r="AI231" s="26">
        <f t="shared" si="201"/>
        <v>0</v>
      </c>
      <c r="AJ231" s="26">
        <f t="shared" si="202"/>
        <v>0</v>
      </c>
      <c r="AK231" s="26">
        <f t="shared" si="203"/>
        <v>0</v>
      </c>
      <c r="AM231" s="27">
        <v>21</v>
      </c>
      <c r="AN231" s="27">
        <f>G231*0.325215419501134</f>
        <v>0</v>
      </c>
      <c r="AO231" s="27">
        <f>G231*(1-0.325215419501134)</f>
        <v>0</v>
      </c>
      <c r="AP231" s="28" t="s">
        <v>13</v>
      </c>
      <c r="AU231" s="27">
        <f t="shared" si="204"/>
        <v>0</v>
      </c>
      <c r="AV231" s="27">
        <f t="shared" si="205"/>
        <v>0</v>
      </c>
      <c r="AW231" s="27">
        <f t="shared" si="206"/>
        <v>0</v>
      </c>
      <c r="AX231" s="29" t="s">
        <v>787</v>
      </c>
      <c r="AY231" s="29" t="s">
        <v>794</v>
      </c>
      <c r="AZ231" s="17" t="s">
        <v>796</v>
      </c>
      <c r="BB231" s="27">
        <f t="shared" si="207"/>
        <v>0</v>
      </c>
      <c r="BC231" s="27">
        <f t="shared" si="208"/>
        <v>0</v>
      </c>
      <c r="BD231" s="27">
        <v>0</v>
      </c>
      <c r="BE231" s="27">
        <f t="shared" si="209"/>
        <v>0.00045</v>
      </c>
      <c r="BG231" s="26">
        <f t="shared" si="210"/>
        <v>0</v>
      </c>
      <c r="BH231" s="26">
        <f t="shared" si="211"/>
        <v>0</v>
      </c>
      <c r="BI231" s="26">
        <f t="shared" si="212"/>
        <v>0</v>
      </c>
    </row>
    <row r="232" spans="1:61" ht="12.75">
      <c r="A232" s="24" t="s">
        <v>206</v>
      </c>
      <c r="B232" s="25"/>
      <c r="C232" s="25" t="s">
        <v>453</v>
      </c>
      <c r="D232" s="25" t="s">
        <v>701</v>
      </c>
      <c r="E232" s="25" t="s">
        <v>750</v>
      </c>
      <c r="F232" s="26">
        <v>1</v>
      </c>
      <c r="G232" s="1">
        <v>0</v>
      </c>
      <c r="H232" s="26">
        <f t="shared" si="189"/>
        <v>0</v>
      </c>
      <c r="I232" s="26">
        <f t="shared" si="190"/>
        <v>0</v>
      </c>
      <c r="J232" s="26">
        <f t="shared" si="191"/>
        <v>0</v>
      </c>
      <c r="K232" s="26">
        <v>0.00034</v>
      </c>
      <c r="L232" s="26">
        <f t="shared" si="192"/>
        <v>0.00034</v>
      </c>
      <c r="Y232" s="27">
        <f t="shared" si="193"/>
        <v>0</v>
      </c>
      <c r="AA232" s="27">
        <f t="shared" si="194"/>
        <v>0</v>
      </c>
      <c r="AB232" s="27">
        <f t="shared" si="195"/>
        <v>0</v>
      </c>
      <c r="AC232" s="27">
        <f t="shared" si="196"/>
        <v>0</v>
      </c>
      <c r="AD232" s="27">
        <f t="shared" si="197"/>
        <v>0</v>
      </c>
      <c r="AE232" s="27">
        <f t="shared" si="198"/>
        <v>0</v>
      </c>
      <c r="AF232" s="27">
        <f t="shared" si="199"/>
        <v>0</v>
      </c>
      <c r="AG232" s="27">
        <f t="shared" si="200"/>
        <v>0</v>
      </c>
      <c r="AH232" s="17"/>
      <c r="AI232" s="26">
        <f t="shared" si="201"/>
        <v>0</v>
      </c>
      <c r="AJ232" s="26">
        <f t="shared" si="202"/>
        <v>0</v>
      </c>
      <c r="AK232" s="26">
        <f t="shared" si="203"/>
        <v>0</v>
      </c>
      <c r="AM232" s="27">
        <v>21</v>
      </c>
      <c r="AN232" s="27">
        <f>G232*0.219353144557749</f>
        <v>0</v>
      </c>
      <c r="AO232" s="27">
        <f>G232*(1-0.219353144557749)</f>
        <v>0</v>
      </c>
      <c r="AP232" s="28" t="s">
        <v>13</v>
      </c>
      <c r="AU232" s="27">
        <f t="shared" si="204"/>
        <v>0</v>
      </c>
      <c r="AV232" s="27">
        <f t="shared" si="205"/>
        <v>0</v>
      </c>
      <c r="AW232" s="27">
        <f t="shared" si="206"/>
        <v>0</v>
      </c>
      <c r="AX232" s="29" t="s">
        <v>787</v>
      </c>
      <c r="AY232" s="29" t="s">
        <v>794</v>
      </c>
      <c r="AZ232" s="17" t="s">
        <v>796</v>
      </c>
      <c r="BB232" s="27">
        <f t="shared" si="207"/>
        <v>0</v>
      </c>
      <c r="BC232" s="27">
        <f t="shared" si="208"/>
        <v>0</v>
      </c>
      <c r="BD232" s="27">
        <v>0</v>
      </c>
      <c r="BE232" s="27">
        <f t="shared" si="209"/>
        <v>0.00034</v>
      </c>
      <c r="BG232" s="26">
        <f t="shared" si="210"/>
        <v>0</v>
      </c>
      <c r="BH232" s="26">
        <f t="shared" si="211"/>
        <v>0</v>
      </c>
      <c r="BI232" s="26">
        <f t="shared" si="212"/>
        <v>0</v>
      </c>
    </row>
    <row r="233" spans="1:61" ht="12.75">
      <c r="A233" s="24" t="s">
        <v>207</v>
      </c>
      <c r="B233" s="25"/>
      <c r="C233" s="25" t="s">
        <v>454</v>
      </c>
      <c r="D233" s="25" t="s">
        <v>702</v>
      </c>
      <c r="E233" s="25" t="s">
        <v>750</v>
      </c>
      <c r="F233" s="26">
        <v>1</v>
      </c>
      <c r="G233" s="1">
        <v>0</v>
      </c>
      <c r="H233" s="26">
        <f t="shared" si="189"/>
        <v>0</v>
      </c>
      <c r="I233" s="26">
        <f t="shared" si="190"/>
        <v>0</v>
      </c>
      <c r="J233" s="26">
        <f t="shared" si="191"/>
        <v>0</v>
      </c>
      <c r="K233" s="26">
        <v>0</v>
      </c>
      <c r="L233" s="26">
        <f t="shared" si="192"/>
        <v>0</v>
      </c>
      <c r="Y233" s="27">
        <f t="shared" si="193"/>
        <v>0</v>
      </c>
      <c r="AA233" s="27">
        <f t="shared" si="194"/>
        <v>0</v>
      </c>
      <c r="AB233" s="27">
        <f t="shared" si="195"/>
        <v>0</v>
      </c>
      <c r="AC233" s="27">
        <f t="shared" si="196"/>
        <v>0</v>
      </c>
      <c r="AD233" s="27">
        <f t="shared" si="197"/>
        <v>0</v>
      </c>
      <c r="AE233" s="27">
        <f t="shared" si="198"/>
        <v>0</v>
      </c>
      <c r="AF233" s="27">
        <f t="shared" si="199"/>
        <v>0</v>
      </c>
      <c r="AG233" s="27">
        <f t="shared" si="200"/>
        <v>0</v>
      </c>
      <c r="AH233" s="17"/>
      <c r="AI233" s="26">
        <f t="shared" si="201"/>
        <v>0</v>
      </c>
      <c r="AJ233" s="26">
        <f t="shared" si="202"/>
        <v>0</v>
      </c>
      <c r="AK233" s="26">
        <f t="shared" si="203"/>
        <v>0</v>
      </c>
      <c r="AM233" s="27">
        <v>21</v>
      </c>
      <c r="AN233" s="27">
        <f>G233*0</f>
        <v>0</v>
      </c>
      <c r="AO233" s="27">
        <f>G233*(1-0)</f>
        <v>0</v>
      </c>
      <c r="AP233" s="28" t="s">
        <v>13</v>
      </c>
      <c r="AU233" s="27">
        <f t="shared" si="204"/>
        <v>0</v>
      </c>
      <c r="AV233" s="27">
        <f t="shared" si="205"/>
        <v>0</v>
      </c>
      <c r="AW233" s="27">
        <f t="shared" si="206"/>
        <v>0</v>
      </c>
      <c r="AX233" s="29" t="s">
        <v>787</v>
      </c>
      <c r="AY233" s="29" t="s">
        <v>794</v>
      </c>
      <c r="AZ233" s="17" t="s">
        <v>796</v>
      </c>
      <c r="BB233" s="27">
        <f t="shared" si="207"/>
        <v>0</v>
      </c>
      <c r="BC233" s="27">
        <f t="shared" si="208"/>
        <v>0</v>
      </c>
      <c r="BD233" s="27">
        <v>0</v>
      </c>
      <c r="BE233" s="27">
        <f t="shared" si="209"/>
        <v>0</v>
      </c>
      <c r="BG233" s="26">
        <f t="shared" si="210"/>
        <v>0</v>
      </c>
      <c r="BH233" s="26">
        <f t="shared" si="211"/>
        <v>0</v>
      </c>
      <c r="BI233" s="26">
        <f t="shared" si="212"/>
        <v>0</v>
      </c>
    </row>
    <row r="234" spans="1:61" ht="12.75">
      <c r="A234" s="24" t="s">
        <v>208</v>
      </c>
      <c r="B234" s="25"/>
      <c r="C234" s="25" t="s">
        <v>455</v>
      </c>
      <c r="D234" s="25" t="s">
        <v>703</v>
      </c>
      <c r="E234" s="25" t="s">
        <v>750</v>
      </c>
      <c r="F234" s="26">
        <v>1</v>
      </c>
      <c r="G234" s="1">
        <v>0</v>
      </c>
      <c r="H234" s="26">
        <f t="shared" si="189"/>
        <v>0</v>
      </c>
      <c r="I234" s="26">
        <f t="shared" si="190"/>
        <v>0</v>
      </c>
      <c r="J234" s="26">
        <f t="shared" si="191"/>
        <v>0</v>
      </c>
      <c r="K234" s="26">
        <v>0.00041</v>
      </c>
      <c r="L234" s="26">
        <f t="shared" si="192"/>
        <v>0.00041</v>
      </c>
      <c r="Y234" s="27">
        <f t="shared" si="193"/>
        <v>0</v>
      </c>
      <c r="AA234" s="27">
        <f t="shared" si="194"/>
        <v>0</v>
      </c>
      <c r="AB234" s="27">
        <f t="shared" si="195"/>
        <v>0</v>
      </c>
      <c r="AC234" s="27">
        <f t="shared" si="196"/>
        <v>0</v>
      </c>
      <c r="AD234" s="27">
        <f t="shared" si="197"/>
        <v>0</v>
      </c>
      <c r="AE234" s="27">
        <f t="shared" si="198"/>
        <v>0</v>
      </c>
      <c r="AF234" s="27">
        <f t="shared" si="199"/>
        <v>0</v>
      </c>
      <c r="AG234" s="27">
        <f t="shared" si="200"/>
        <v>0</v>
      </c>
      <c r="AH234" s="17"/>
      <c r="AI234" s="26">
        <f t="shared" si="201"/>
        <v>0</v>
      </c>
      <c r="AJ234" s="26">
        <f t="shared" si="202"/>
        <v>0</v>
      </c>
      <c r="AK234" s="26">
        <f t="shared" si="203"/>
        <v>0</v>
      </c>
      <c r="AM234" s="27">
        <v>21</v>
      </c>
      <c r="AN234" s="27">
        <f>G234*0.340639658848614</f>
        <v>0</v>
      </c>
      <c r="AO234" s="27">
        <f>G234*(1-0.340639658848614)</f>
        <v>0</v>
      </c>
      <c r="AP234" s="28" t="s">
        <v>13</v>
      </c>
      <c r="AU234" s="27">
        <f t="shared" si="204"/>
        <v>0</v>
      </c>
      <c r="AV234" s="27">
        <f t="shared" si="205"/>
        <v>0</v>
      </c>
      <c r="AW234" s="27">
        <f t="shared" si="206"/>
        <v>0</v>
      </c>
      <c r="AX234" s="29" t="s">
        <v>787</v>
      </c>
      <c r="AY234" s="29" t="s">
        <v>794</v>
      </c>
      <c r="AZ234" s="17" t="s">
        <v>796</v>
      </c>
      <c r="BB234" s="27">
        <f t="shared" si="207"/>
        <v>0</v>
      </c>
      <c r="BC234" s="27">
        <f t="shared" si="208"/>
        <v>0</v>
      </c>
      <c r="BD234" s="27">
        <v>0</v>
      </c>
      <c r="BE234" s="27">
        <f t="shared" si="209"/>
        <v>0.00041</v>
      </c>
      <c r="BG234" s="26">
        <f t="shared" si="210"/>
        <v>0</v>
      </c>
      <c r="BH234" s="26">
        <f t="shared" si="211"/>
        <v>0</v>
      </c>
      <c r="BI234" s="26">
        <f t="shared" si="212"/>
        <v>0</v>
      </c>
    </row>
    <row r="235" spans="1:61" ht="12.75">
      <c r="A235" s="24" t="s">
        <v>209</v>
      </c>
      <c r="B235" s="25"/>
      <c r="C235" s="25" t="s">
        <v>456</v>
      </c>
      <c r="D235" s="25" t="s">
        <v>704</v>
      </c>
      <c r="E235" s="25" t="s">
        <v>751</v>
      </c>
      <c r="F235" s="26">
        <v>1</v>
      </c>
      <c r="G235" s="1">
        <v>0</v>
      </c>
      <c r="H235" s="26">
        <f t="shared" si="189"/>
        <v>0</v>
      </c>
      <c r="I235" s="26">
        <f t="shared" si="190"/>
        <v>0</v>
      </c>
      <c r="J235" s="26">
        <f t="shared" si="191"/>
        <v>0</v>
      </c>
      <c r="K235" s="26">
        <v>0</v>
      </c>
      <c r="L235" s="26">
        <f t="shared" si="192"/>
        <v>0</v>
      </c>
      <c r="Y235" s="27">
        <f t="shared" si="193"/>
        <v>0</v>
      </c>
      <c r="AA235" s="27">
        <f t="shared" si="194"/>
        <v>0</v>
      </c>
      <c r="AB235" s="27">
        <f t="shared" si="195"/>
        <v>0</v>
      </c>
      <c r="AC235" s="27">
        <f t="shared" si="196"/>
        <v>0</v>
      </c>
      <c r="AD235" s="27">
        <f t="shared" si="197"/>
        <v>0</v>
      </c>
      <c r="AE235" s="27">
        <f t="shared" si="198"/>
        <v>0</v>
      </c>
      <c r="AF235" s="27">
        <f t="shared" si="199"/>
        <v>0</v>
      </c>
      <c r="AG235" s="27">
        <f t="shared" si="200"/>
        <v>0</v>
      </c>
      <c r="AH235" s="17"/>
      <c r="AI235" s="26">
        <f t="shared" si="201"/>
        <v>0</v>
      </c>
      <c r="AJ235" s="26">
        <f t="shared" si="202"/>
        <v>0</v>
      </c>
      <c r="AK235" s="26">
        <f t="shared" si="203"/>
        <v>0</v>
      </c>
      <c r="AM235" s="27">
        <v>21</v>
      </c>
      <c r="AN235" s="27">
        <f>G235*0.106382978723404</f>
        <v>0</v>
      </c>
      <c r="AO235" s="27">
        <f>G235*(1-0.106382978723404)</f>
        <v>0</v>
      </c>
      <c r="AP235" s="28" t="s">
        <v>13</v>
      </c>
      <c r="AU235" s="27">
        <f t="shared" si="204"/>
        <v>0</v>
      </c>
      <c r="AV235" s="27">
        <f t="shared" si="205"/>
        <v>0</v>
      </c>
      <c r="AW235" s="27">
        <f t="shared" si="206"/>
        <v>0</v>
      </c>
      <c r="AX235" s="29" t="s">
        <v>787</v>
      </c>
      <c r="AY235" s="29" t="s">
        <v>794</v>
      </c>
      <c r="AZ235" s="17" t="s">
        <v>796</v>
      </c>
      <c r="BB235" s="27">
        <f t="shared" si="207"/>
        <v>0</v>
      </c>
      <c r="BC235" s="27">
        <f t="shared" si="208"/>
        <v>0</v>
      </c>
      <c r="BD235" s="27">
        <v>0</v>
      </c>
      <c r="BE235" s="27">
        <f t="shared" si="209"/>
        <v>0</v>
      </c>
      <c r="BG235" s="26">
        <f t="shared" si="210"/>
        <v>0</v>
      </c>
      <c r="BH235" s="26">
        <f t="shared" si="211"/>
        <v>0</v>
      </c>
      <c r="BI235" s="26">
        <f t="shared" si="212"/>
        <v>0</v>
      </c>
    </row>
    <row r="236" spans="1:61" ht="12.75">
      <c r="A236" s="24" t="s">
        <v>210</v>
      </c>
      <c r="B236" s="25"/>
      <c r="C236" s="25" t="s">
        <v>457</v>
      </c>
      <c r="D236" s="25" t="s">
        <v>705</v>
      </c>
      <c r="E236" s="25" t="s">
        <v>751</v>
      </c>
      <c r="F236" s="26">
        <v>1</v>
      </c>
      <c r="G236" s="1">
        <v>0</v>
      </c>
      <c r="H236" s="26">
        <f t="shared" si="189"/>
        <v>0</v>
      </c>
      <c r="I236" s="26">
        <f t="shared" si="190"/>
        <v>0</v>
      </c>
      <c r="J236" s="26">
        <f t="shared" si="191"/>
        <v>0</v>
      </c>
      <c r="K236" s="26">
        <v>0</v>
      </c>
      <c r="L236" s="26">
        <f t="shared" si="192"/>
        <v>0</v>
      </c>
      <c r="Y236" s="27">
        <f t="shared" si="193"/>
        <v>0</v>
      </c>
      <c r="AA236" s="27">
        <f t="shared" si="194"/>
        <v>0</v>
      </c>
      <c r="AB236" s="27">
        <f t="shared" si="195"/>
        <v>0</v>
      </c>
      <c r="AC236" s="27">
        <f t="shared" si="196"/>
        <v>0</v>
      </c>
      <c r="AD236" s="27">
        <f t="shared" si="197"/>
        <v>0</v>
      </c>
      <c r="AE236" s="27">
        <f t="shared" si="198"/>
        <v>0</v>
      </c>
      <c r="AF236" s="27">
        <f t="shared" si="199"/>
        <v>0</v>
      </c>
      <c r="AG236" s="27">
        <f t="shared" si="200"/>
        <v>0</v>
      </c>
      <c r="AH236" s="17"/>
      <c r="AI236" s="26">
        <f t="shared" si="201"/>
        <v>0</v>
      </c>
      <c r="AJ236" s="26">
        <f t="shared" si="202"/>
        <v>0</v>
      </c>
      <c r="AK236" s="26">
        <f t="shared" si="203"/>
        <v>0</v>
      </c>
      <c r="AM236" s="27">
        <v>21</v>
      </c>
      <c r="AN236" s="27">
        <f>G236*0.0816326530612245</f>
        <v>0</v>
      </c>
      <c r="AO236" s="27">
        <f>G236*(1-0.0816326530612245)</f>
        <v>0</v>
      </c>
      <c r="AP236" s="28" t="s">
        <v>13</v>
      </c>
      <c r="AU236" s="27">
        <f t="shared" si="204"/>
        <v>0</v>
      </c>
      <c r="AV236" s="27">
        <f t="shared" si="205"/>
        <v>0</v>
      </c>
      <c r="AW236" s="27">
        <f t="shared" si="206"/>
        <v>0</v>
      </c>
      <c r="AX236" s="29" t="s">
        <v>787</v>
      </c>
      <c r="AY236" s="29" t="s">
        <v>794</v>
      </c>
      <c r="AZ236" s="17" t="s">
        <v>796</v>
      </c>
      <c r="BB236" s="27">
        <f t="shared" si="207"/>
        <v>0</v>
      </c>
      <c r="BC236" s="27">
        <f t="shared" si="208"/>
        <v>0</v>
      </c>
      <c r="BD236" s="27">
        <v>0</v>
      </c>
      <c r="BE236" s="27">
        <f t="shared" si="209"/>
        <v>0</v>
      </c>
      <c r="BG236" s="26">
        <f t="shared" si="210"/>
        <v>0</v>
      </c>
      <c r="BH236" s="26">
        <f t="shared" si="211"/>
        <v>0</v>
      </c>
      <c r="BI236" s="26">
        <f t="shared" si="212"/>
        <v>0</v>
      </c>
    </row>
    <row r="237" spans="1:61" ht="12.75">
      <c r="A237" s="24" t="s">
        <v>211</v>
      </c>
      <c r="B237" s="25"/>
      <c r="C237" s="25" t="s">
        <v>458</v>
      </c>
      <c r="D237" s="25" t="s">
        <v>706</v>
      </c>
      <c r="E237" s="25" t="s">
        <v>751</v>
      </c>
      <c r="F237" s="26">
        <v>1</v>
      </c>
      <c r="G237" s="1">
        <v>0</v>
      </c>
      <c r="H237" s="26">
        <f t="shared" si="189"/>
        <v>0</v>
      </c>
      <c r="I237" s="26">
        <f t="shared" si="190"/>
        <v>0</v>
      </c>
      <c r="J237" s="26">
        <f t="shared" si="191"/>
        <v>0</v>
      </c>
      <c r="K237" s="26">
        <v>0</v>
      </c>
      <c r="L237" s="26">
        <f t="shared" si="192"/>
        <v>0</v>
      </c>
      <c r="Y237" s="27">
        <f t="shared" si="193"/>
        <v>0</v>
      </c>
      <c r="AA237" s="27">
        <f t="shared" si="194"/>
        <v>0</v>
      </c>
      <c r="AB237" s="27">
        <f t="shared" si="195"/>
        <v>0</v>
      </c>
      <c r="AC237" s="27">
        <f t="shared" si="196"/>
        <v>0</v>
      </c>
      <c r="AD237" s="27">
        <f t="shared" si="197"/>
        <v>0</v>
      </c>
      <c r="AE237" s="27">
        <f t="shared" si="198"/>
        <v>0</v>
      </c>
      <c r="AF237" s="27">
        <f t="shared" si="199"/>
        <v>0</v>
      </c>
      <c r="AG237" s="27">
        <f t="shared" si="200"/>
        <v>0</v>
      </c>
      <c r="AH237" s="17"/>
      <c r="AI237" s="26">
        <f t="shared" si="201"/>
        <v>0</v>
      </c>
      <c r="AJ237" s="26">
        <f t="shared" si="202"/>
        <v>0</v>
      </c>
      <c r="AK237" s="26">
        <f t="shared" si="203"/>
        <v>0</v>
      </c>
      <c r="AM237" s="27">
        <v>21</v>
      </c>
      <c r="AN237" s="27">
        <f>G237*0.071301247771836</f>
        <v>0</v>
      </c>
      <c r="AO237" s="27">
        <f>G237*(1-0.071301247771836)</f>
        <v>0</v>
      </c>
      <c r="AP237" s="28" t="s">
        <v>13</v>
      </c>
      <c r="AU237" s="27">
        <f t="shared" si="204"/>
        <v>0</v>
      </c>
      <c r="AV237" s="27">
        <f t="shared" si="205"/>
        <v>0</v>
      </c>
      <c r="AW237" s="27">
        <f t="shared" si="206"/>
        <v>0</v>
      </c>
      <c r="AX237" s="29" t="s">
        <v>787</v>
      </c>
      <c r="AY237" s="29" t="s">
        <v>794</v>
      </c>
      <c r="AZ237" s="17" t="s">
        <v>796</v>
      </c>
      <c r="BB237" s="27">
        <f t="shared" si="207"/>
        <v>0</v>
      </c>
      <c r="BC237" s="27">
        <f t="shared" si="208"/>
        <v>0</v>
      </c>
      <c r="BD237" s="27">
        <v>0</v>
      </c>
      <c r="BE237" s="27">
        <f t="shared" si="209"/>
        <v>0</v>
      </c>
      <c r="BG237" s="26">
        <f t="shared" si="210"/>
        <v>0</v>
      </c>
      <c r="BH237" s="26">
        <f t="shared" si="211"/>
        <v>0</v>
      </c>
      <c r="BI237" s="26">
        <f t="shared" si="212"/>
        <v>0</v>
      </c>
    </row>
    <row r="238" spans="1:61" ht="12.75">
      <c r="A238" s="24" t="s">
        <v>212</v>
      </c>
      <c r="B238" s="25"/>
      <c r="C238" s="25" t="s">
        <v>459</v>
      </c>
      <c r="D238" s="25" t="s">
        <v>707</v>
      </c>
      <c r="E238" s="25" t="s">
        <v>751</v>
      </c>
      <c r="F238" s="26">
        <v>1</v>
      </c>
      <c r="G238" s="1">
        <v>0</v>
      </c>
      <c r="H238" s="26">
        <f t="shared" si="189"/>
        <v>0</v>
      </c>
      <c r="I238" s="26">
        <f t="shared" si="190"/>
        <v>0</v>
      </c>
      <c r="J238" s="26">
        <f t="shared" si="191"/>
        <v>0</v>
      </c>
      <c r="K238" s="26">
        <v>7E-05</v>
      </c>
      <c r="L238" s="26">
        <f t="shared" si="192"/>
        <v>7E-05</v>
      </c>
      <c r="Y238" s="27">
        <f t="shared" si="193"/>
        <v>0</v>
      </c>
      <c r="AA238" s="27">
        <f t="shared" si="194"/>
        <v>0</v>
      </c>
      <c r="AB238" s="27">
        <f t="shared" si="195"/>
        <v>0</v>
      </c>
      <c r="AC238" s="27">
        <f t="shared" si="196"/>
        <v>0</v>
      </c>
      <c r="AD238" s="27">
        <f t="shared" si="197"/>
        <v>0</v>
      </c>
      <c r="AE238" s="27">
        <f t="shared" si="198"/>
        <v>0</v>
      </c>
      <c r="AF238" s="27">
        <f t="shared" si="199"/>
        <v>0</v>
      </c>
      <c r="AG238" s="27">
        <f t="shared" si="200"/>
        <v>0</v>
      </c>
      <c r="AH238" s="17"/>
      <c r="AI238" s="26">
        <f t="shared" si="201"/>
        <v>0</v>
      </c>
      <c r="AJ238" s="26">
        <f t="shared" si="202"/>
        <v>0</v>
      </c>
      <c r="AK238" s="26">
        <f t="shared" si="203"/>
        <v>0</v>
      </c>
      <c r="AM238" s="27">
        <v>21</v>
      </c>
      <c r="AN238" s="27">
        <f>G238*0.19156862745098</f>
        <v>0</v>
      </c>
      <c r="AO238" s="27">
        <f>G238*(1-0.19156862745098)</f>
        <v>0</v>
      </c>
      <c r="AP238" s="28" t="s">
        <v>13</v>
      </c>
      <c r="AU238" s="27">
        <f t="shared" si="204"/>
        <v>0</v>
      </c>
      <c r="AV238" s="27">
        <f t="shared" si="205"/>
        <v>0</v>
      </c>
      <c r="AW238" s="27">
        <f t="shared" si="206"/>
        <v>0</v>
      </c>
      <c r="AX238" s="29" t="s">
        <v>787</v>
      </c>
      <c r="AY238" s="29" t="s">
        <v>794</v>
      </c>
      <c r="AZ238" s="17" t="s">
        <v>796</v>
      </c>
      <c r="BB238" s="27">
        <f t="shared" si="207"/>
        <v>0</v>
      </c>
      <c r="BC238" s="27">
        <f t="shared" si="208"/>
        <v>0</v>
      </c>
      <c r="BD238" s="27">
        <v>0</v>
      </c>
      <c r="BE238" s="27">
        <f t="shared" si="209"/>
        <v>7E-05</v>
      </c>
      <c r="BG238" s="26">
        <f t="shared" si="210"/>
        <v>0</v>
      </c>
      <c r="BH238" s="26">
        <f t="shared" si="211"/>
        <v>0</v>
      </c>
      <c r="BI238" s="26">
        <f t="shared" si="212"/>
        <v>0</v>
      </c>
    </row>
    <row r="239" spans="1:61" ht="12.75">
      <c r="A239" s="24" t="s">
        <v>213</v>
      </c>
      <c r="B239" s="25"/>
      <c r="C239" s="25" t="s">
        <v>460</v>
      </c>
      <c r="D239" s="25" t="s">
        <v>708</v>
      </c>
      <c r="E239" s="25" t="s">
        <v>751</v>
      </c>
      <c r="F239" s="26">
        <v>1</v>
      </c>
      <c r="G239" s="1">
        <v>0</v>
      </c>
      <c r="H239" s="26">
        <f t="shared" si="189"/>
        <v>0</v>
      </c>
      <c r="I239" s="26">
        <f t="shared" si="190"/>
        <v>0</v>
      </c>
      <c r="J239" s="26">
        <f t="shared" si="191"/>
        <v>0</v>
      </c>
      <c r="K239" s="26">
        <v>9E-05</v>
      </c>
      <c r="L239" s="26">
        <f t="shared" si="192"/>
        <v>9E-05</v>
      </c>
      <c r="Y239" s="27">
        <f t="shared" si="193"/>
        <v>0</v>
      </c>
      <c r="AA239" s="27">
        <f t="shared" si="194"/>
        <v>0</v>
      </c>
      <c r="AB239" s="27">
        <f t="shared" si="195"/>
        <v>0</v>
      </c>
      <c r="AC239" s="27">
        <f t="shared" si="196"/>
        <v>0</v>
      </c>
      <c r="AD239" s="27">
        <f t="shared" si="197"/>
        <v>0</v>
      </c>
      <c r="AE239" s="27">
        <f t="shared" si="198"/>
        <v>0</v>
      </c>
      <c r="AF239" s="27">
        <f t="shared" si="199"/>
        <v>0</v>
      </c>
      <c r="AG239" s="27">
        <f t="shared" si="200"/>
        <v>0</v>
      </c>
      <c r="AH239" s="17"/>
      <c r="AI239" s="26">
        <f t="shared" si="201"/>
        <v>0</v>
      </c>
      <c r="AJ239" s="26">
        <f t="shared" si="202"/>
        <v>0</v>
      </c>
      <c r="AK239" s="26">
        <f t="shared" si="203"/>
        <v>0</v>
      </c>
      <c r="AM239" s="27">
        <v>21</v>
      </c>
      <c r="AN239" s="27">
        <f>G239*0.211935483870968</f>
        <v>0</v>
      </c>
      <c r="AO239" s="27">
        <f>G239*(1-0.211935483870968)</f>
        <v>0</v>
      </c>
      <c r="AP239" s="28" t="s">
        <v>13</v>
      </c>
      <c r="AU239" s="27">
        <f t="shared" si="204"/>
        <v>0</v>
      </c>
      <c r="AV239" s="27">
        <f t="shared" si="205"/>
        <v>0</v>
      </c>
      <c r="AW239" s="27">
        <f t="shared" si="206"/>
        <v>0</v>
      </c>
      <c r="AX239" s="29" t="s">
        <v>787</v>
      </c>
      <c r="AY239" s="29" t="s">
        <v>794</v>
      </c>
      <c r="AZ239" s="17" t="s">
        <v>796</v>
      </c>
      <c r="BB239" s="27">
        <f t="shared" si="207"/>
        <v>0</v>
      </c>
      <c r="BC239" s="27">
        <f t="shared" si="208"/>
        <v>0</v>
      </c>
      <c r="BD239" s="27">
        <v>0</v>
      </c>
      <c r="BE239" s="27">
        <f t="shared" si="209"/>
        <v>9E-05</v>
      </c>
      <c r="BG239" s="26">
        <f t="shared" si="210"/>
        <v>0</v>
      </c>
      <c r="BH239" s="26">
        <f t="shared" si="211"/>
        <v>0</v>
      </c>
      <c r="BI239" s="26">
        <f t="shared" si="212"/>
        <v>0</v>
      </c>
    </row>
    <row r="240" spans="1:61" ht="12.75">
      <c r="A240" s="24" t="s">
        <v>214</v>
      </c>
      <c r="B240" s="25"/>
      <c r="C240" s="25" t="s">
        <v>461</v>
      </c>
      <c r="D240" s="25" t="s">
        <v>709</v>
      </c>
      <c r="E240" s="25" t="s">
        <v>751</v>
      </c>
      <c r="F240" s="26">
        <v>1</v>
      </c>
      <c r="G240" s="1">
        <v>0</v>
      </c>
      <c r="H240" s="26">
        <f t="shared" si="189"/>
        <v>0</v>
      </c>
      <c r="I240" s="26">
        <f t="shared" si="190"/>
        <v>0</v>
      </c>
      <c r="J240" s="26">
        <f t="shared" si="191"/>
        <v>0</v>
      </c>
      <c r="K240" s="26">
        <v>0.00014</v>
      </c>
      <c r="L240" s="26">
        <f t="shared" si="192"/>
        <v>0.00014</v>
      </c>
      <c r="Y240" s="27">
        <f t="shared" si="193"/>
        <v>0</v>
      </c>
      <c r="AA240" s="27">
        <f t="shared" si="194"/>
        <v>0</v>
      </c>
      <c r="AB240" s="27">
        <f t="shared" si="195"/>
        <v>0</v>
      </c>
      <c r="AC240" s="27">
        <f t="shared" si="196"/>
        <v>0</v>
      </c>
      <c r="AD240" s="27">
        <f t="shared" si="197"/>
        <v>0</v>
      </c>
      <c r="AE240" s="27">
        <f t="shared" si="198"/>
        <v>0</v>
      </c>
      <c r="AF240" s="27">
        <f t="shared" si="199"/>
        <v>0</v>
      </c>
      <c r="AG240" s="27">
        <f t="shared" si="200"/>
        <v>0</v>
      </c>
      <c r="AH240" s="17"/>
      <c r="AI240" s="26">
        <f t="shared" si="201"/>
        <v>0</v>
      </c>
      <c r="AJ240" s="26">
        <f t="shared" si="202"/>
        <v>0</v>
      </c>
      <c r="AK240" s="26">
        <f t="shared" si="203"/>
        <v>0</v>
      </c>
      <c r="AM240" s="27">
        <v>21</v>
      </c>
      <c r="AN240" s="27">
        <f>G240*0.249873417721519</f>
        <v>0</v>
      </c>
      <c r="AO240" s="27">
        <f>G240*(1-0.249873417721519)</f>
        <v>0</v>
      </c>
      <c r="AP240" s="28" t="s">
        <v>13</v>
      </c>
      <c r="AU240" s="27">
        <f t="shared" si="204"/>
        <v>0</v>
      </c>
      <c r="AV240" s="27">
        <f t="shared" si="205"/>
        <v>0</v>
      </c>
      <c r="AW240" s="27">
        <f t="shared" si="206"/>
        <v>0</v>
      </c>
      <c r="AX240" s="29" t="s">
        <v>787</v>
      </c>
      <c r="AY240" s="29" t="s">
        <v>794</v>
      </c>
      <c r="AZ240" s="17" t="s">
        <v>796</v>
      </c>
      <c r="BB240" s="27">
        <f t="shared" si="207"/>
        <v>0</v>
      </c>
      <c r="BC240" s="27">
        <f t="shared" si="208"/>
        <v>0</v>
      </c>
      <c r="BD240" s="27">
        <v>0</v>
      </c>
      <c r="BE240" s="27">
        <f t="shared" si="209"/>
        <v>0.00014</v>
      </c>
      <c r="BG240" s="26">
        <f t="shared" si="210"/>
        <v>0</v>
      </c>
      <c r="BH240" s="26">
        <f t="shared" si="211"/>
        <v>0</v>
      </c>
      <c r="BI240" s="26">
        <f t="shared" si="212"/>
        <v>0</v>
      </c>
    </row>
    <row r="241" spans="1:46" ht="12.75">
      <c r="A241" s="30"/>
      <c r="B241" s="31"/>
      <c r="C241" s="31" t="s">
        <v>462</v>
      </c>
      <c r="D241" s="31" t="s">
        <v>710</v>
      </c>
      <c r="E241" s="32" t="s">
        <v>6</v>
      </c>
      <c r="F241" s="32" t="s">
        <v>6</v>
      </c>
      <c r="G241" s="32" t="s">
        <v>6</v>
      </c>
      <c r="H241" s="23">
        <f>SUM(H242:H263)</f>
        <v>0</v>
      </c>
      <c r="I241" s="23">
        <f>SUM(I242:I263)</f>
        <v>0</v>
      </c>
      <c r="J241" s="23">
        <f>SUM(J242:J263)</f>
        <v>0</v>
      </c>
      <c r="K241" s="17"/>
      <c r="L241" s="23">
        <f>SUM(L242:L263)</f>
        <v>0.1486</v>
      </c>
      <c r="AH241" s="17"/>
      <c r="AR241" s="23">
        <f>SUM(AI242:AI263)</f>
        <v>0</v>
      </c>
      <c r="AS241" s="23">
        <f>SUM(AJ242:AJ263)</f>
        <v>0</v>
      </c>
      <c r="AT241" s="23">
        <f>SUM(AK242:AK263)</f>
        <v>0</v>
      </c>
    </row>
    <row r="242" spans="1:61" ht="12.75">
      <c r="A242" s="24" t="s">
        <v>215</v>
      </c>
      <c r="B242" s="25"/>
      <c r="C242" s="25" t="s">
        <v>866</v>
      </c>
      <c r="D242" s="25" t="s">
        <v>867</v>
      </c>
      <c r="E242" s="25" t="s">
        <v>751</v>
      </c>
      <c r="F242" s="26">
        <v>1</v>
      </c>
      <c r="G242" s="1">
        <v>0</v>
      </c>
      <c r="H242" s="26">
        <f aca="true" t="shared" si="215" ref="H242:H263">F242*AN242</f>
        <v>0</v>
      </c>
      <c r="I242" s="26">
        <f aca="true" t="shared" si="216" ref="I242:I263">F242*AO242</f>
        <v>0</v>
      </c>
      <c r="J242" s="26">
        <f aca="true" t="shared" si="217" ref="J242:J263">F242*G242</f>
        <v>0</v>
      </c>
      <c r="K242" s="26">
        <v>0.00096</v>
      </c>
      <c r="L242" s="26">
        <f aca="true" t="shared" si="218" ref="L242:L263">F242*K242</f>
        <v>0.00096</v>
      </c>
      <c r="Y242" s="27">
        <f aca="true" t="shared" si="219" ref="Y242:Y263">IF(AP242="5",BI242,0)</f>
        <v>0</v>
      </c>
      <c r="AA242" s="27">
        <f aca="true" t="shared" si="220" ref="AA242:AA263">IF(AP242="1",BG242,0)</f>
        <v>0</v>
      </c>
      <c r="AB242" s="27">
        <f aca="true" t="shared" si="221" ref="AB242:AB263">IF(AP242="1",BH242,0)</f>
        <v>0</v>
      </c>
      <c r="AC242" s="27">
        <f aca="true" t="shared" si="222" ref="AC242:AC263">IF(AP242="7",BG242,0)</f>
        <v>0</v>
      </c>
      <c r="AD242" s="27">
        <f aca="true" t="shared" si="223" ref="AD242:AD263">IF(AP242="7",BH242,0)</f>
        <v>0</v>
      </c>
      <c r="AE242" s="27">
        <f aca="true" t="shared" si="224" ref="AE242:AE263">IF(AP242="2",BG242,0)</f>
        <v>0</v>
      </c>
      <c r="AF242" s="27">
        <f aca="true" t="shared" si="225" ref="AF242:AF263">IF(AP242="2",BH242,0)</f>
        <v>0</v>
      </c>
      <c r="AG242" s="27">
        <f aca="true" t="shared" si="226" ref="AG242:AG263">IF(AP242="0",BI242,0)</f>
        <v>0</v>
      </c>
      <c r="AH242" s="17"/>
      <c r="AI242" s="26">
        <f aca="true" t="shared" si="227" ref="AI242:AI263">IF(AM242=0,J242,0)</f>
        <v>0</v>
      </c>
      <c r="AJ242" s="26">
        <f aca="true" t="shared" si="228" ref="AJ242:AJ263">IF(AM242=15,J242,0)</f>
        <v>0</v>
      </c>
      <c r="AK242" s="26">
        <f aca="true" t="shared" si="229" ref="AK242:AK263">IF(AM242=21,J242,0)</f>
        <v>0</v>
      </c>
      <c r="AM242" s="27">
        <v>21</v>
      </c>
      <c r="AN242" s="27">
        <f>G242*0.508503115002526</f>
        <v>0</v>
      </c>
      <c r="AO242" s="27">
        <f>G242*(1-0.508503115002526)</f>
        <v>0</v>
      </c>
      <c r="AP242" s="28" t="s">
        <v>13</v>
      </c>
      <c r="AU242" s="27">
        <f aca="true" t="shared" si="230" ref="AU242:AU263">AV242+AW242</f>
        <v>0</v>
      </c>
      <c r="AV242" s="27">
        <f aca="true" t="shared" si="231" ref="AV242:AV263">F242*AN242</f>
        <v>0</v>
      </c>
      <c r="AW242" s="27">
        <f aca="true" t="shared" si="232" ref="AW242:AW263">F242*AO242</f>
        <v>0</v>
      </c>
      <c r="AX242" s="29" t="s">
        <v>788</v>
      </c>
      <c r="AY242" s="29" t="s">
        <v>794</v>
      </c>
      <c r="AZ242" s="17" t="s">
        <v>796</v>
      </c>
      <c r="BB242" s="27">
        <f aca="true" t="shared" si="233" ref="BB242:BB263">AV242+AW242</f>
        <v>0</v>
      </c>
      <c r="BC242" s="27">
        <f aca="true" t="shared" si="234" ref="BC242:BC263">G242/(100-BD242)*100</f>
        <v>0</v>
      </c>
      <c r="BD242" s="27">
        <v>0</v>
      </c>
      <c r="BE242" s="27">
        <f aca="true" t="shared" si="235" ref="BE242:BE263">L242</f>
        <v>0.00096</v>
      </c>
      <c r="BG242" s="26">
        <f aca="true" t="shared" si="236" ref="BG242:BG263">F242*AN242</f>
        <v>0</v>
      </c>
      <c r="BH242" s="26">
        <f aca="true" t="shared" si="237" ref="BH242:BH263">F242*AO242</f>
        <v>0</v>
      </c>
      <c r="BI242" s="26">
        <f aca="true" t="shared" si="238" ref="BI242:BI263">F242*G242</f>
        <v>0</v>
      </c>
    </row>
    <row r="243" spans="1:61" ht="12.75">
      <c r="A243" s="24" t="s">
        <v>216</v>
      </c>
      <c r="B243" s="25"/>
      <c r="C243" s="25" t="s">
        <v>464</v>
      </c>
      <c r="D243" s="25" t="s">
        <v>712</v>
      </c>
      <c r="E243" s="25" t="s">
        <v>750</v>
      </c>
      <c r="F243" s="26">
        <v>1</v>
      </c>
      <c r="G243" s="1">
        <v>0</v>
      </c>
      <c r="H243" s="26">
        <f t="shared" si="215"/>
        <v>0</v>
      </c>
      <c r="I243" s="26">
        <f t="shared" si="216"/>
        <v>0</v>
      </c>
      <c r="J243" s="26">
        <f t="shared" si="217"/>
        <v>0</v>
      </c>
      <c r="K243" s="26">
        <v>0.00703</v>
      </c>
      <c r="L243" s="26">
        <f t="shared" si="218"/>
        <v>0.00703</v>
      </c>
      <c r="Y243" s="27">
        <f t="shared" si="219"/>
        <v>0</v>
      </c>
      <c r="AA243" s="27">
        <f t="shared" si="220"/>
        <v>0</v>
      </c>
      <c r="AB243" s="27">
        <f t="shared" si="221"/>
        <v>0</v>
      </c>
      <c r="AC243" s="27">
        <f t="shared" si="222"/>
        <v>0</v>
      </c>
      <c r="AD243" s="27">
        <f t="shared" si="223"/>
        <v>0</v>
      </c>
      <c r="AE243" s="27">
        <f t="shared" si="224"/>
        <v>0</v>
      </c>
      <c r="AF243" s="27">
        <f t="shared" si="225"/>
        <v>0</v>
      </c>
      <c r="AG243" s="27">
        <f t="shared" si="226"/>
        <v>0</v>
      </c>
      <c r="AH243" s="17"/>
      <c r="AI243" s="26">
        <f t="shared" si="227"/>
        <v>0</v>
      </c>
      <c r="AJ243" s="26">
        <f t="shared" si="228"/>
        <v>0</v>
      </c>
      <c r="AK243" s="26">
        <f t="shared" si="229"/>
        <v>0</v>
      </c>
      <c r="AM243" s="27">
        <v>21</v>
      </c>
      <c r="AN243" s="27">
        <f>G243*0.747867924528302</f>
        <v>0</v>
      </c>
      <c r="AO243" s="27">
        <f>G243*(1-0.747867924528302)</f>
        <v>0</v>
      </c>
      <c r="AP243" s="28" t="s">
        <v>13</v>
      </c>
      <c r="AU243" s="27">
        <f t="shared" si="230"/>
        <v>0</v>
      </c>
      <c r="AV243" s="27">
        <f t="shared" si="231"/>
        <v>0</v>
      </c>
      <c r="AW243" s="27">
        <f t="shared" si="232"/>
        <v>0</v>
      </c>
      <c r="AX243" s="29" t="s">
        <v>788</v>
      </c>
      <c r="AY243" s="29" t="s">
        <v>794</v>
      </c>
      <c r="AZ243" s="17" t="s">
        <v>796</v>
      </c>
      <c r="BB243" s="27">
        <f t="shared" si="233"/>
        <v>0</v>
      </c>
      <c r="BC243" s="27">
        <f t="shared" si="234"/>
        <v>0</v>
      </c>
      <c r="BD243" s="27">
        <v>0</v>
      </c>
      <c r="BE243" s="27">
        <f t="shared" si="235"/>
        <v>0.00703</v>
      </c>
      <c r="BG243" s="26">
        <f t="shared" si="236"/>
        <v>0</v>
      </c>
      <c r="BH243" s="26">
        <f t="shared" si="237"/>
        <v>0</v>
      </c>
      <c r="BI243" s="26">
        <f t="shared" si="238"/>
        <v>0</v>
      </c>
    </row>
    <row r="244" spans="1:61" ht="12.75">
      <c r="A244" s="24" t="s">
        <v>217</v>
      </c>
      <c r="B244" s="25"/>
      <c r="C244" s="25" t="s">
        <v>465</v>
      </c>
      <c r="D244" s="25" t="s">
        <v>713</v>
      </c>
      <c r="E244" s="25" t="s">
        <v>750</v>
      </c>
      <c r="F244" s="26">
        <v>1</v>
      </c>
      <c r="G244" s="1">
        <v>0</v>
      </c>
      <c r="H244" s="26">
        <f t="shared" si="215"/>
        <v>0</v>
      </c>
      <c r="I244" s="26">
        <f t="shared" si="216"/>
        <v>0</v>
      </c>
      <c r="J244" s="26">
        <f t="shared" si="217"/>
        <v>0</v>
      </c>
      <c r="K244" s="26">
        <v>0.00873</v>
      </c>
      <c r="L244" s="26">
        <f t="shared" si="218"/>
        <v>0.00873</v>
      </c>
      <c r="Y244" s="27">
        <f t="shared" si="219"/>
        <v>0</v>
      </c>
      <c r="AA244" s="27">
        <f t="shared" si="220"/>
        <v>0</v>
      </c>
      <c r="AB244" s="27">
        <f t="shared" si="221"/>
        <v>0</v>
      </c>
      <c r="AC244" s="27">
        <f t="shared" si="222"/>
        <v>0</v>
      </c>
      <c r="AD244" s="27">
        <f t="shared" si="223"/>
        <v>0</v>
      </c>
      <c r="AE244" s="27">
        <f t="shared" si="224"/>
        <v>0</v>
      </c>
      <c r="AF244" s="27">
        <f t="shared" si="225"/>
        <v>0</v>
      </c>
      <c r="AG244" s="27">
        <f t="shared" si="226"/>
        <v>0</v>
      </c>
      <c r="AH244" s="17"/>
      <c r="AI244" s="26">
        <f t="shared" si="227"/>
        <v>0</v>
      </c>
      <c r="AJ244" s="26">
        <f t="shared" si="228"/>
        <v>0</v>
      </c>
      <c r="AK244" s="26">
        <f t="shared" si="229"/>
        <v>0</v>
      </c>
      <c r="AM244" s="27">
        <v>21</v>
      </c>
      <c r="AN244" s="27">
        <f>G244*0.778890687350759</f>
        <v>0</v>
      </c>
      <c r="AO244" s="27">
        <f>G244*(1-0.778890687350759)</f>
        <v>0</v>
      </c>
      <c r="AP244" s="28" t="s">
        <v>13</v>
      </c>
      <c r="AU244" s="27">
        <f t="shared" si="230"/>
        <v>0</v>
      </c>
      <c r="AV244" s="27">
        <f t="shared" si="231"/>
        <v>0</v>
      </c>
      <c r="AW244" s="27">
        <f t="shared" si="232"/>
        <v>0</v>
      </c>
      <c r="AX244" s="29" t="s">
        <v>788</v>
      </c>
      <c r="AY244" s="29" t="s">
        <v>794</v>
      </c>
      <c r="AZ244" s="17" t="s">
        <v>796</v>
      </c>
      <c r="BB244" s="27">
        <f t="shared" si="233"/>
        <v>0</v>
      </c>
      <c r="BC244" s="27">
        <f t="shared" si="234"/>
        <v>0</v>
      </c>
      <c r="BD244" s="27">
        <v>0</v>
      </c>
      <c r="BE244" s="27">
        <f t="shared" si="235"/>
        <v>0.00873</v>
      </c>
      <c r="BG244" s="26">
        <f t="shared" si="236"/>
        <v>0</v>
      </c>
      <c r="BH244" s="26">
        <f t="shared" si="237"/>
        <v>0</v>
      </c>
      <c r="BI244" s="26">
        <f t="shared" si="238"/>
        <v>0</v>
      </c>
    </row>
    <row r="245" spans="1:61" ht="12.75">
      <c r="A245" s="24" t="s">
        <v>218</v>
      </c>
      <c r="B245" s="25"/>
      <c r="C245" s="25" t="s">
        <v>466</v>
      </c>
      <c r="D245" s="25" t="s">
        <v>714</v>
      </c>
      <c r="E245" s="25" t="s">
        <v>750</v>
      </c>
      <c r="F245" s="26">
        <v>1</v>
      </c>
      <c r="G245" s="1">
        <v>0</v>
      </c>
      <c r="H245" s="26">
        <f t="shared" si="215"/>
        <v>0</v>
      </c>
      <c r="I245" s="26">
        <f t="shared" si="216"/>
        <v>0</v>
      </c>
      <c r="J245" s="26">
        <f t="shared" si="217"/>
        <v>0</v>
      </c>
      <c r="K245" s="26">
        <v>0.01</v>
      </c>
      <c r="L245" s="26">
        <f t="shared" si="218"/>
        <v>0.01</v>
      </c>
      <c r="Y245" s="27">
        <f t="shared" si="219"/>
        <v>0</v>
      </c>
      <c r="AA245" s="27">
        <f t="shared" si="220"/>
        <v>0</v>
      </c>
      <c r="AB245" s="27">
        <f t="shared" si="221"/>
        <v>0</v>
      </c>
      <c r="AC245" s="27">
        <f t="shared" si="222"/>
        <v>0</v>
      </c>
      <c r="AD245" s="27">
        <f t="shared" si="223"/>
        <v>0</v>
      </c>
      <c r="AE245" s="27">
        <f t="shared" si="224"/>
        <v>0</v>
      </c>
      <c r="AF245" s="27">
        <f t="shared" si="225"/>
        <v>0</v>
      </c>
      <c r="AG245" s="27">
        <f t="shared" si="226"/>
        <v>0</v>
      </c>
      <c r="AH245" s="17"/>
      <c r="AI245" s="26">
        <f t="shared" si="227"/>
        <v>0</v>
      </c>
      <c r="AJ245" s="26">
        <f t="shared" si="228"/>
        <v>0</v>
      </c>
      <c r="AK245" s="26">
        <f t="shared" si="229"/>
        <v>0</v>
      </c>
      <c r="AM245" s="27">
        <v>21</v>
      </c>
      <c r="AN245" s="27">
        <f>G245*0</f>
        <v>0</v>
      </c>
      <c r="AO245" s="27">
        <f>G245*(1-0)</f>
        <v>0</v>
      </c>
      <c r="AP245" s="28" t="s">
        <v>13</v>
      </c>
      <c r="AU245" s="27">
        <f t="shared" si="230"/>
        <v>0</v>
      </c>
      <c r="AV245" s="27">
        <f t="shared" si="231"/>
        <v>0</v>
      </c>
      <c r="AW245" s="27">
        <f t="shared" si="232"/>
        <v>0</v>
      </c>
      <c r="AX245" s="29" t="s">
        <v>788</v>
      </c>
      <c r="AY245" s="29" t="s">
        <v>794</v>
      </c>
      <c r="AZ245" s="17" t="s">
        <v>796</v>
      </c>
      <c r="BB245" s="27">
        <f t="shared" si="233"/>
        <v>0</v>
      </c>
      <c r="BC245" s="27">
        <f t="shared" si="234"/>
        <v>0</v>
      </c>
      <c r="BD245" s="27">
        <v>0</v>
      </c>
      <c r="BE245" s="27">
        <f t="shared" si="235"/>
        <v>0.01</v>
      </c>
      <c r="BG245" s="26">
        <f t="shared" si="236"/>
        <v>0</v>
      </c>
      <c r="BH245" s="26">
        <f t="shared" si="237"/>
        <v>0</v>
      </c>
      <c r="BI245" s="26">
        <f t="shared" si="238"/>
        <v>0</v>
      </c>
    </row>
    <row r="246" spans="1:61" ht="12.75">
      <c r="A246" s="24" t="s">
        <v>219</v>
      </c>
      <c r="B246" s="25"/>
      <c r="C246" s="25" t="s">
        <v>467</v>
      </c>
      <c r="D246" s="25" t="s">
        <v>715</v>
      </c>
      <c r="E246" s="25" t="s">
        <v>750</v>
      </c>
      <c r="F246" s="26">
        <v>1</v>
      </c>
      <c r="G246" s="1">
        <v>0</v>
      </c>
      <c r="H246" s="26">
        <f t="shared" si="215"/>
        <v>0</v>
      </c>
      <c r="I246" s="26">
        <f t="shared" si="216"/>
        <v>0</v>
      </c>
      <c r="J246" s="26">
        <f t="shared" si="217"/>
        <v>0</v>
      </c>
      <c r="K246" s="26">
        <v>0.014</v>
      </c>
      <c r="L246" s="26">
        <f t="shared" si="218"/>
        <v>0.014</v>
      </c>
      <c r="Y246" s="27">
        <f t="shared" si="219"/>
        <v>0</v>
      </c>
      <c r="AA246" s="27">
        <f t="shared" si="220"/>
        <v>0</v>
      </c>
      <c r="AB246" s="27">
        <f t="shared" si="221"/>
        <v>0</v>
      </c>
      <c r="AC246" s="27">
        <f t="shared" si="222"/>
        <v>0</v>
      </c>
      <c r="AD246" s="27">
        <f t="shared" si="223"/>
        <v>0</v>
      </c>
      <c r="AE246" s="27">
        <f t="shared" si="224"/>
        <v>0</v>
      </c>
      <c r="AF246" s="27">
        <f t="shared" si="225"/>
        <v>0</v>
      </c>
      <c r="AG246" s="27">
        <f t="shared" si="226"/>
        <v>0</v>
      </c>
      <c r="AH246" s="17"/>
      <c r="AI246" s="26">
        <f t="shared" si="227"/>
        <v>0</v>
      </c>
      <c r="AJ246" s="26">
        <f t="shared" si="228"/>
        <v>0</v>
      </c>
      <c r="AK246" s="26">
        <f t="shared" si="229"/>
        <v>0</v>
      </c>
      <c r="AM246" s="27">
        <v>21</v>
      </c>
      <c r="AN246" s="27">
        <f>G246*0</f>
        <v>0</v>
      </c>
      <c r="AO246" s="27">
        <f>G246*(1-0)</f>
        <v>0</v>
      </c>
      <c r="AP246" s="28" t="s">
        <v>13</v>
      </c>
      <c r="AU246" s="27">
        <f t="shared" si="230"/>
        <v>0</v>
      </c>
      <c r="AV246" s="27">
        <f t="shared" si="231"/>
        <v>0</v>
      </c>
      <c r="AW246" s="27">
        <f t="shared" si="232"/>
        <v>0</v>
      </c>
      <c r="AX246" s="29" t="s">
        <v>788</v>
      </c>
      <c r="AY246" s="29" t="s">
        <v>794</v>
      </c>
      <c r="AZ246" s="17" t="s">
        <v>796</v>
      </c>
      <c r="BB246" s="27">
        <f t="shared" si="233"/>
        <v>0</v>
      </c>
      <c r="BC246" s="27">
        <f t="shared" si="234"/>
        <v>0</v>
      </c>
      <c r="BD246" s="27">
        <v>0</v>
      </c>
      <c r="BE246" s="27">
        <f t="shared" si="235"/>
        <v>0.014</v>
      </c>
      <c r="BG246" s="26">
        <f t="shared" si="236"/>
        <v>0</v>
      </c>
      <c r="BH246" s="26">
        <f t="shared" si="237"/>
        <v>0</v>
      </c>
      <c r="BI246" s="26">
        <f t="shared" si="238"/>
        <v>0</v>
      </c>
    </row>
    <row r="247" spans="1:61" ht="12.75">
      <c r="A247" s="24" t="s">
        <v>220</v>
      </c>
      <c r="B247" s="25"/>
      <c r="C247" s="25" t="s">
        <v>468</v>
      </c>
      <c r="D247" s="25" t="s">
        <v>715</v>
      </c>
      <c r="E247" s="25" t="s">
        <v>750</v>
      </c>
      <c r="F247" s="26">
        <v>1</v>
      </c>
      <c r="G247" s="1">
        <v>0</v>
      </c>
      <c r="H247" s="26">
        <f t="shared" si="215"/>
        <v>0</v>
      </c>
      <c r="I247" s="26">
        <f t="shared" si="216"/>
        <v>0</v>
      </c>
      <c r="J247" s="26">
        <f t="shared" si="217"/>
        <v>0</v>
      </c>
      <c r="K247" s="26">
        <v>0.01</v>
      </c>
      <c r="L247" s="26">
        <f t="shared" si="218"/>
        <v>0.01</v>
      </c>
      <c r="Y247" s="27">
        <f t="shared" si="219"/>
        <v>0</v>
      </c>
      <c r="AA247" s="27">
        <f t="shared" si="220"/>
        <v>0</v>
      </c>
      <c r="AB247" s="27">
        <f t="shared" si="221"/>
        <v>0</v>
      </c>
      <c r="AC247" s="27">
        <f t="shared" si="222"/>
        <v>0</v>
      </c>
      <c r="AD247" s="27">
        <f t="shared" si="223"/>
        <v>0</v>
      </c>
      <c r="AE247" s="27">
        <f t="shared" si="224"/>
        <v>0</v>
      </c>
      <c r="AF247" s="27">
        <f t="shared" si="225"/>
        <v>0</v>
      </c>
      <c r="AG247" s="27">
        <f t="shared" si="226"/>
        <v>0</v>
      </c>
      <c r="AH247" s="17"/>
      <c r="AI247" s="26">
        <f t="shared" si="227"/>
        <v>0</v>
      </c>
      <c r="AJ247" s="26">
        <f t="shared" si="228"/>
        <v>0</v>
      </c>
      <c r="AK247" s="26">
        <f t="shared" si="229"/>
        <v>0</v>
      </c>
      <c r="AM247" s="27">
        <v>21</v>
      </c>
      <c r="AN247" s="27">
        <f>G247*0</f>
        <v>0</v>
      </c>
      <c r="AO247" s="27">
        <f>G247*(1-0)</f>
        <v>0</v>
      </c>
      <c r="AP247" s="28" t="s">
        <v>13</v>
      </c>
      <c r="AU247" s="27">
        <f t="shared" si="230"/>
        <v>0</v>
      </c>
      <c r="AV247" s="27">
        <f t="shared" si="231"/>
        <v>0</v>
      </c>
      <c r="AW247" s="27">
        <f t="shared" si="232"/>
        <v>0</v>
      </c>
      <c r="AX247" s="29" t="s">
        <v>788</v>
      </c>
      <c r="AY247" s="29" t="s">
        <v>794</v>
      </c>
      <c r="AZ247" s="17" t="s">
        <v>796</v>
      </c>
      <c r="BB247" s="27">
        <f t="shared" si="233"/>
        <v>0</v>
      </c>
      <c r="BC247" s="27">
        <f t="shared" si="234"/>
        <v>0</v>
      </c>
      <c r="BD247" s="27">
        <v>0</v>
      </c>
      <c r="BE247" s="27">
        <f t="shared" si="235"/>
        <v>0.01</v>
      </c>
      <c r="BG247" s="26">
        <f t="shared" si="236"/>
        <v>0</v>
      </c>
      <c r="BH247" s="26">
        <f t="shared" si="237"/>
        <v>0</v>
      </c>
      <c r="BI247" s="26">
        <f t="shared" si="238"/>
        <v>0</v>
      </c>
    </row>
    <row r="248" spans="1:61" ht="12.75">
      <c r="A248" s="34" t="s">
        <v>221</v>
      </c>
      <c r="B248" s="35"/>
      <c r="C248" s="35" t="s">
        <v>469</v>
      </c>
      <c r="D248" s="35" t="s">
        <v>717</v>
      </c>
      <c r="E248" s="35" t="s">
        <v>750</v>
      </c>
      <c r="F248" s="36">
        <v>1</v>
      </c>
      <c r="G248" s="1">
        <v>0</v>
      </c>
      <c r="H248" s="36">
        <f t="shared" si="215"/>
        <v>0</v>
      </c>
      <c r="I248" s="36">
        <f t="shared" si="216"/>
        <v>0</v>
      </c>
      <c r="J248" s="36">
        <f t="shared" si="217"/>
        <v>0</v>
      </c>
      <c r="K248" s="36">
        <v>0.0001</v>
      </c>
      <c r="L248" s="36">
        <f t="shared" si="218"/>
        <v>0.0001</v>
      </c>
      <c r="Y248" s="27">
        <f t="shared" si="219"/>
        <v>0</v>
      </c>
      <c r="AA248" s="27">
        <f t="shared" si="220"/>
        <v>0</v>
      </c>
      <c r="AB248" s="27">
        <f t="shared" si="221"/>
        <v>0</v>
      </c>
      <c r="AC248" s="27">
        <f t="shared" si="222"/>
        <v>0</v>
      </c>
      <c r="AD248" s="27">
        <f t="shared" si="223"/>
        <v>0</v>
      </c>
      <c r="AE248" s="27">
        <f t="shared" si="224"/>
        <v>0</v>
      </c>
      <c r="AF248" s="27">
        <f t="shared" si="225"/>
        <v>0</v>
      </c>
      <c r="AG248" s="27">
        <f t="shared" si="226"/>
        <v>0</v>
      </c>
      <c r="AH248" s="17"/>
      <c r="AI248" s="36">
        <f t="shared" si="227"/>
        <v>0</v>
      </c>
      <c r="AJ248" s="36">
        <f t="shared" si="228"/>
        <v>0</v>
      </c>
      <c r="AK248" s="36">
        <f t="shared" si="229"/>
        <v>0</v>
      </c>
      <c r="AM248" s="27">
        <v>21</v>
      </c>
      <c r="AN248" s="27">
        <f>G248*1</f>
        <v>0</v>
      </c>
      <c r="AO248" s="27">
        <f>G248*(1-1)</f>
        <v>0</v>
      </c>
      <c r="AP248" s="37" t="s">
        <v>13</v>
      </c>
      <c r="AU248" s="27">
        <f t="shared" si="230"/>
        <v>0</v>
      </c>
      <c r="AV248" s="27">
        <f t="shared" si="231"/>
        <v>0</v>
      </c>
      <c r="AW248" s="27">
        <f t="shared" si="232"/>
        <v>0</v>
      </c>
      <c r="AX248" s="29" t="s">
        <v>788</v>
      </c>
      <c r="AY248" s="29" t="s">
        <v>794</v>
      </c>
      <c r="AZ248" s="17" t="s">
        <v>796</v>
      </c>
      <c r="BB248" s="27">
        <f t="shared" si="233"/>
        <v>0</v>
      </c>
      <c r="BC248" s="27">
        <f t="shared" si="234"/>
        <v>0</v>
      </c>
      <c r="BD248" s="27">
        <v>0</v>
      </c>
      <c r="BE248" s="27">
        <f t="shared" si="235"/>
        <v>0.0001</v>
      </c>
      <c r="BG248" s="36">
        <f t="shared" si="236"/>
        <v>0</v>
      </c>
      <c r="BH248" s="36">
        <f t="shared" si="237"/>
        <v>0</v>
      </c>
      <c r="BI248" s="36">
        <f t="shared" si="238"/>
        <v>0</v>
      </c>
    </row>
    <row r="249" spans="1:61" ht="12.75">
      <c r="A249" s="24" t="s">
        <v>222</v>
      </c>
      <c r="B249" s="25"/>
      <c r="C249" s="25" t="s">
        <v>470</v>
      </c>
      <c r="D249" s="25" t="s">
        <v>718</v>
      </c>
      <c r="E249" s="25" t="s">
        <v>750</v>
      </c>
      <c r="F249" s="26">
        <v>1</v>
      </c>
      <c r="G249" s="1">
        <v>0</v>
      </c>
      <c r="H249" s="26">
        <f t="shared" si="215"/>
        <v>0</v>
      </c>
      <c r="I249" s="26">
        <f t="shared" si="216"/>
        <v>0</v>
      </c>
      <c r="J249" s="26">
        <f t="shared" si="217"/>
        <v>0</v>
      </c>
      <c r="K249" s="26">
        <v>0.01285</v>
      </c>
      <c r="L249" s="26">
        <f t="shared" si="218"/>
        <v>0.01285</v>
      </c>
      <c r="Y249" s="27">
        <f t="shared" si="219"/>
        <v>0</v>
      </c>
      <c r="AA249" s="27">
        <f t="shared" si="220"/>
        <v>0</v>
      </c>
      <c r="AB249" s="27">
        <f t="shared" si="221"/>
        <v>0</v>
      </c>
      <c r="AC249" s="27">
        <f t="shared" si="222"/>
        <v>0</v>
      </c>
      <c r="AD249" s="27">
        <f t="shared" si="223"/>
        <v>0</v>
      </c>
      <c r="AE249" s="27">
        <f t="shared" si="224"/>
        <v>0</v>
      </c>
      <c r="AF249" s="27">
        <f t="shared" si="225"/>
        <v>0</v>
      </c>
      <c r="AG249" s="27">
        <f t="shared" si="226"/>
        <v>0</v>
      </c>
      <c r="AH249" s="17"/>
      <c r="AI249" s="26">
        <f t="shared" si="227"/>
        <v>0</v>
      </c>
      <c r="AJ249" s="26">
        <f t="shared" si="228"/>
        <v>0</v>
      </c>
      <c r="AK249" s="26">
        <f t="shared" si="229"/>
        <v>0</v>
      </c>
      <c r="AM249" s="27">
        <v>21</v>
      </c>
      <c r="AN249" s="27">
        <f>G249*0.597633742221312</f>
        <v>0</v>
      </c>
      <c r="AO249" s="27">
        <f>G249*(1-0.597633742221312)</f>
        <v>0</v>
      </c>
      <c r="AP249" s="28" t="s">
        <v>13</v>
      </c>
      <c r="AU249" s="27">
        <f t="shared" si="230"/>
        <v>0</v>
      </c>
      <c r="AV249" s="27">
        <f t="shared" si="231"/>
        <v>0</v>
      </c>
      <c r="AW249" s="27">
        <f t="shared" si="232"/>
        <v>0</v>
      </c>
      <c r="AX249" s="29" t="s">
        <v>788</v>
      </c>
      <c r="AY249" s="29" t="s">
        <v>794</v>
      </c>
      <c r="AZ249" s="17" t="s">
        <v>796</v>
      </c>
      <c r="BB249" s="27">
        <f t="shared" si="233"/>
        <v>0</v>
      </c>
      <c r="BC249" s="27">
        <f t="shared" si="234"/>
        <v>0</v>
      </c>
      <c r="BD249" s="27">
        <v>0</v>
      </c>
      <c r="BE249" s="27">
        <f t="shared" si="235"/>
        <v>0.01285</v>
      </c>
      <c r="BG249" s="26">
        <f t="shared" si="236"/>
        <v>0</v>
      </c>
      <c r="BH249" s="26">
        <f t="shared" si="237"/>
        <v>0</v>
      </c>
      <c r="BI249" s="26">
        <f t="shared" si="238"/>
        <v>0</v>
      </c>
    </row>
    <row r="250" spans="1:61" ht="12.75">
      <c r="A250" s="24" t="s">
        <v>223</v>
      </c>
      <c r="B250" s="25"/>
      <c r="C250" s="25" t="s">
        <v>471</v>
      </c>
      <c r="D250" s="25" t="s">
        <v>719</v>
      </c>
      <c r="E250" s="25" t="s">
        <v>750</v>
      </c>
      <c r="F250" s="26">
        <v>1</v>
      </c>
      <c r="G250" s="1">
        <v>0</v>
      </c>
      <c r="H250" s="26">
        <f t="shared" si="215"/>
        <v>0</v>
      </c>
      <c r="I250" s="26">
        <f t="shared" si="216"/>
        <v>0</v>
      </c>
      <c r="J250" s="26">
        <f t="shared" si="217"/>
        <v>0</v>
      </c>
      <c r="K250" s="26">
        <v>0.01885</v>
      </c>
      <c r="L250" s="26">
        <f t="shared" si="218"/>
        <v>0.01885</v>
      </c>
      <c r="Y250" s="27">
        <f t="shared" si="219"/>
        <v>0</v>
      </c>
      <c r="AA250" s="27">
        <f t="shared" si="220"/>
        <v>0</v>
      </c>
      <c r="AB250" s="27">
        <f t="shared" si="221"/>
        <v>0</v>
      </c>
      <c r="AC250" s="27">
        <f t="shared" si="222"/>
        <v>0</v>
      </c>
      <c r="AD250" s="27">
        <f t="shared" si="223"/>
        <v>0</v>
      </c>
      <c r="AE250" s="27">
        <f t="shared" si="224"/>
        <v>0</v>
      </c>
      <c r="AF250" s="27">
        <f t="shared" si="225"/>
        <v>0</v>
      </c>
      <c r="AG250" s="27">
        <f t="shared" si="226"/>
        <v>0</v>
      </c>
      <c r="AH250" s="17"/>
      <c r="AI250" s="26">
        <f t="shared" si="227"/>
        <v>0</v>
      </c>
      <c r="AJ250" s="26">
        <f t="shared" si="228"/>
        <v>0</v>
      </c>
      <c r="AK250" s="26">
        <f t="shared" si="229"/>
        <v>0</v>
      </c>
      <c r="AM250" s="27">
        <v>21</v>
      </c>
      <c r="AN250" s="27">
        <f>G250*0.643415384615385</f>
        <v>0</v>
      </c>
      <c r="AO250" s="27">
        <f>G250*(1-0.643415384615385)</f>
        <v>0</v>
      </c>
      <c r="AP250" s="28" t="s">
        <v>13</v>
      </c>
      <c r="AU250" s="27">
        <f t="shared" si="230"/>
        <v>0</v>
      </c>
      <c r="AV250" s="27">
        <f t="shared" si="231"/>
        <v>0</v>
      </c>
      <c r="AW250" s="27">
        <f t="shared" si="232"/>
        <v>0</v>
      </c>
      <c r="AX250" s="29" t="s">
        <v>788</v>
      </c>
      <c r="AY250" s="29" t="s">
        <v>794</v>
      </c>
      <c r="AZ250" s="17" t="s">
        <v>796</v>
      </c>
      <c r="BB250" s="27">
        <f t="shared" si="233"/>
        <v>0</v>
      </c>
      <c r="BC250" s="27">
        <f t="shared" si="234"/>
        <v>0</v>
      </c>
      <c r="BD250" s="27">
        <v>0</v>
      </c>
      <c r="BE250" s="27">
        <f t="shared" si="235"/>
        <v>0.01885</v>
      </c>
      <c r="BG250" s="26">
        <f t="shared" si="236"/>
        <v>0</v>
      </c>
      <c r="BH250" s="26">
        <f t="shared" si="237"/>
        <v>0</v>
      </c>
      <c r="BI250" s="26">
        <f t="shared" si="238"/>
        <v>0</v>
      </c>
    </row>
    <row r="251" spans="1:61" ht="12.75">
      <c r="A251" s="24" t="s">
        <v>224</v>
      </c>
      <c r="B251" s="25"/>
      <c r="C251" s="25" t="s">
        <v>472</v>
      </c>
      <c r="D251" s="25" t="s">
        <v>720</v>
      </c>
      <c r="E251" s="25" t="s">
        <v>750</v>
      </c>
      <c r="F251" s="26">
        <v>1</v>
      </c>
      <c r="G251" s="1">
        <v>0</v>
      </c>
      <c r="H251" s="26">
        <f t="shared" si="215"/>
        <v>0</v>
      </c>
      <c r="I251" s="26">
        <f t="shared" si="216"/>
        <v>0</v>
      </c>
      <c r="J251" s="26">
        <f t="shared" si="217"/>
        <v>0</v>
      </c>
      <c r="K251" s="26">
        <v>0.02145</v>
      </c>
      <c r="L251" s="26">
        <f t="shared" si="218"/>
        <v>0.02145</v>
      </c>
      <c r="Y251" s="27">
        <f t="shared" si="219"/>
        <v>0</v>
      </c>
      <c r="AA251" s="27">
        <f t="shared" si="220"/>
        <v>0</v>
      </c>
      <c r="AB251" s="27">
        <f t="shared" si="221"/>
        <v>0</v>
      </c>
      <c r="AC251" s="27">
        <f t="shared" si="222"/>
        <v>0</v>
      </c>
      <c r="AD251" s="27">
        <f t="shared" si="223"/>
        <v>0</v>
      </c>
      <c r="AE251" s="27">
        <f t="shared" si="224"/>
        <v>0</v>
      </c>
      <c r="AF251" s="27">
        <f t="shared" si="225"/>
        <v>0</v>
      </c>
      <c r="AG251" s="27">
        <f t="shared" si="226"/>
        <v>0</v>
      </c>
      <c r="AH251" s="17"/>
      <c r="AI251" s="26">
        <f t="shared" si="227"/>
        <v>0</v>
      </c>
      <c r="AJ251" s="26">
        <f t="shared" si="228"/>
        <v>0</v>
      </c>
      <c r="AK251" s="26">
        <f t="shared" si="229"/>
        <v>0</v>
      </c>
      <c r="AM251" s="27">
        <v>21</v>
      </c>
      <c r="AN251" s="27">
        <f>G251*0.762089219416315</f>
        <v>0</v>
      </c>
      <c r="AO251" s="27">
        <f>G251*(1-0.762089219416315)</f>
        <v>0</v>
      </c>
      <c r="AP251" s="28" t="s">
        <v>13</v>
      </c>
      <c r="AU251" s="27">
        <f t="shared" si="230"/>
        <v>0</v>
      </c>
      <c r="AV251" s="27">
        <f t="shared" si="231"/>
        <v>0</v>
      </c>
      <c r="AW251" s="27">
        <f t="shared" si="232"/>
        <v>0</v>
      </c>
      <c r="AX251" s="29" t="s">
        <v>788</v>
      </c>
      <c r="AY251" s="29" t="s">
        <v>794</v>
      </c>
      <c r="AZ251" s="17" t="s">
        <v>796</v>
      </c>
      <c r="BB251" s="27">
        <f t="shared" si="233"/>
        <v>0</v>
      </c>
      <c r="BC251" s="27">
        <f t="shared" si="234"/>
        <v>0</v>
      </c>
      <c r="BD251" s="27">
        <v>0</v>
      </c>
      <c r="BE251" s="27">
        <f t="shared" si="235"/>
        <v>0.02145</v>
      </c>
      <c r="BG251" s="26">
        <f t="shared" si="236"/>
        <v>0</v>
      </c>
      <c r="BH251" s="26">
        <f t="shared" si="237"/>
        <v>0</v>
      </c>
      <c r="BI251" s="26">
        <f t="shared" si="238"/>
        <v>0</v>
      </c>
    </row>
    <row r="252" spans="1:61" ht="12.75">
      <c r="A252" s="24" t="s">
        <v>225</v>
      </c>
      <c r="B252" s="25"/>
      <c r="C252" s="25" t="s">
        <v>473</v>
      </c>
      <c r="D252" s="25" t="s">
        <v>721</v>
      </c>
      <c r="E252" s="25" t="s">
        <v>750</v>
      </c>
      <c r="F252" s="26">
        <v>1</v>
      </c>
      <c r="G252" s="1">
        <v>0</v>
      </c>
      <c r="H252" s="26">
        <f t="shared" si="215"/>
        <v>0</v>
      </c>
      <c r="I252" s="26">
        <f t="shared" si="216"/>
        <v>0</v>
      </c>
      <c r="J252" s="26">
        <f t="shared" si="217"/>
        <v>0</v>
      </c>
      <c r="K252" s="26">
        <v>0.00903</v>
      </c>
      <c r="L252" s="26">
        <f t="shared" si="218"/>
        <v>0.00903</v>
      </c>
      <c r="Y252" s="27">
        <f t="shared" si="219"/>
        <v>0</v>
      </c>
      <c r="AA252" s="27">
        <f t="shared" si="220"/>
        <v>0</v>
      </c>
      <c r="AB252" s="27">
        <f t="shared" si="221"/>
        <v>0</v>
      </c>
      <c r="AC252" s="27">
        <f t="shared" si="222"/>
        <v>0</v>
      </c>
      <c r="AD252" s="27">
        <f t="shared" si="223"/>
        <v>0</v>
      </c>
      <c r="AE252" s="27">
        <f t="shared" si="224"/>
        <v>0</v>
      </c>
      <c r="AF252" s="27">
        <f t="shared" si="225"/>
        <v>0</v>
      </c>
      <c r="AG252" s="27">
        <f t="shared" si="226"/>
        <v>0</v>
      </c>
      <c r="AH252" s="17"/>
      <c r="AI252" s="26">
        <f t="shared" si="227"/>
        <v>0</v>
      </c>
      <c r="AJ252" s="26">
        <f t="shared" si="228"/>
        <v>0</v>
      </c>
      <c r="AK252" s="26">
        <f t="shared" si="229"/>
        <v>0</v>
      </c>
      <c r="AM252" s="27">
        <v>21</v>
      </c>
      <c r="AN252" s="27">
        <f>G252*0.793142414860681</f>
        <v>0</v>
      </c>
      <c r="AO252" s="27">
        <f>G252*(1-0.793142414860681)</f>
        <v>0</v>
      </c>
      <c r="AP252" s="28" t="s">
        <v>13</v>
      </c>
      <c r="AU252" s="27">
        <f t="shared" si="230"/>
        <v>0</v>
      </c>
      <c r="AV252" s="27">
        <f t="shared" si="231"/>
        <v>0</v>
      </c>
      <c r="AW252" s="27">
        <f t="shared" si="232"/>
        <v>0</v>
      </c>
      <c r="AX252" s="29" t="s">
        <v>788</v>
      </c>
      <c r="AY252" s="29" t="s">
        <v>794</v>
      </c>
      <c r="AZ252" s="17" t="s">
        <v>796</v>
      </c>
      <c r="BB252" s="27">
        <f t="shared" si="233"/>
        <v>0</v>
      </c>
      <c r="BC252" s="27">
        <f t="shared" si="234"/>
        <v>0</v>
      </c>
      <c r="BD252" s="27">
        <v>0</v>
      </c>
      <c r="BE252" s="27">
        <f t="shared" si="235"/>
        <v>0.00903</v>
      </c>
      <c r="BG252" s="26">
        <f t="shared" si="236"/>
        <v>0</v>
      </c>
      <c r="BH252" s="26">
        <f t="shared" si="237"/>
        <v>0</v>
      </c>
      <c r="BI252" s="26">
        <f t="shared" si="238"/>
        <v>0</v>
      </c>
    </row>
    <row r="253" spans="1:61" ht="12.75">
      <c r="A253" s="24" t="s">
        <v>226</v>
      </c>
      <c r="B253" s="25"/>
      <c r="C253" s="25" t="s">
        <v>474</v>
      </c>
      <c r="D253" s="25" t="s">
        <v>722</v>
      </c>
      <c r="E253" s="25" t="s">
        <v>750</v>
      </c>
      <c r="F253" s="26">
        <v>1</v>
      </c>
      <c r="G253" s="1">
        <v>0</v>
      </c>
      <c r="H253" s="26">
        <f t="shared" si="215"/>
        <v>0</v>
      </c>
      <c r="I253" s="26">
        <f t="shared" si="216"/>
        <v>0</v>
      </c>
      <c r="J253" s="26">
        <f t="shared" si="217"/>
        <v>0</v>
      </c>
      <c r="K253" s="26">
        <v>0.01064</v>
      </c>
      <c r="L253" s="26">
        <f t="shared" si="218"/>
        <v>0.01064</v>
      </c>
      <c r="Y253" s="27">
        <f t="shared" si="219"/>
        <v>0</v>
      </c>
      <c r="AA253" s="27">
        <f t="shared" si="220"/>
        <v>0</v>
      </c>
      <c r="AB253" s="27">
        <f t="shared" si="221"/>
        <v>0</v>
      </c>
      <c r="AC253" s="27">
        <f t="shared" si="222"/>
        <v>0</v>
      </c>
      <c r="AD253" s="27">
        <f t="shared" si="223"/>
        <v>0</v>
      </c>
      <c r="AE253" s="27">
        <f t="shared" si="224"/>
        <v>0</v>
      </c>
      <c r="AF253" s="27">
        <f t="shared" si="225"/>
        <v>0</v>
      </c>
      <c r="AG253" s="27">
        <f t="shared" si="226"/>
        <v>0</v>
      </c>
      <c r="AH253" s="17"/>
      <c r="AI253" s="26">
        <f t="shared" si="227"/>
        <v>0</v>
      </c>
      <c r="AJ253" s="26">
        <f t="shared" si="228"/>
        <v>0</v>
      </c>
      <c r="AK253" s="26">
        <f t="shared" si="229"/>
        <v>0</v>
      </c>
      <c r="AM253" s="27">
        <v>21</v>
      </c>
      <c r="AN253" s="27">
        <f>G253*0.807921727395412</f>
        <v>0</v>
      </c>
      <c r="AO253" s="27">
        <f>G253*(1-0.807921727395412)</f>
        <v>0</v>
      </c>
      <c r="AP253" s="28" t="s">
        <v>13</v>
      </c>
      <c r="AU253" s="27">
        <f t="shared" si="230"/>
        <v>0</v>
      </c>
      <c r="AV253" s="27">
        <f t="shared" si="231"/>
        <v>0</v>
      </c>
      <c r="AW253" s="27">
        <f t="shared" si="232"/>
        <v>0</v>
      </c>
      <c r="AX253" s="29" t="s">
        <v>788</v>
      </c>
      <c r="AY253" s="29" t="s">
        <v>794</v>
      </c>
      <c r="AZ253" s="17" t="s">
        <v>796</v>
      </c>
      <c r="BB253" s="27">
        <f t="shared" si="233"/>
        <v>0</v>
      </c>
      <c r="BC253" s="27">
        <f t="shared" si="234"/>
        <v>0</v>
      </c>
      <c r="BD253" s="27">
        <v>0</v>
      </c>
      <c r="BE253" s="27">
        <f t="shared" si="235"/>
        <v>0.01064</v>
      </c>
      <c r="BG253" s="26">
        <f t="shared" si="236"/>
        <v>0</v>
      </c>
      <c r="BH253" s="26">
        <f t="shared" si="237"/>
        <v>0</v>
      </c>
      <c r="BI253" s="26">
        <f t="shared" si="238"/>
        <v>0</v>
      </c>
    </row>
    <row r="254" spans="1:61" ht="12.75">
      <c r="A254" s="24" t="s">
        <v>227</v>
      </c>
      <c r="B254" s="25"/>
      <c r="C254" s="25" t="s">
        <v>463</v>
      </c>
      <c r="D254" s="25" t="s">
        <v>711</v>
      </c>
      <c r="E254" s="25" t="s">
        <v>751</v>
      </c>
      <c r="F254" s="26">
        <v>1</v>
      </c>
      <c r="G254" s="1">
        <v>0</v>
      </c>
      <c r="H254" s="26">
        <f t="shared" si="215"/>
        <v>0</v>
      </c>
      <c r="I254" s="26">
        <f t="shared" si="216"/>
        <v>0</v>
      </c>
      <c r="J254" s="26">
        <f t="shared" si="217"/>
        <v>0</v>
      </c>
      <c r="K254" s="26">
        <v>0.00096</v>
      </c>
      <c r="L254" s="26">
        <f t="shared" si="218"/>
        <v>0.00096</v>
      </c>
      <c r="Y254" s="27">
        <f t="shared" si="219"/>
        <v>0</v>
      </c>
      <c r="AA254" s="27">
        <f t="shared" si="220"/>
        <v>0</v>
      </c>
      <c r="AB254" s="27">
        <f t="shared" si="221"/>
        <v>0</v>
      </c>
      <c r="AC254" s="27">
        <f t="shared" si="222"/>
        <v>0</v>
      </c>
      <c r="AD254" s="27">
        <f t="shared" si="223"/>
        <v>0</v>
      </c>
      <c r="AE254" s="27">
        <f t="shared" si="224"/>
        <v>0</v>
      </c>
      <c r="AF254" s="27">
        <f t="shared" si="225"/>
        <v>0</v>
      </c>
      <c r="AG254" s="27">
        <f t="shared" si="226"/>
        <v>0</v>
      </c>
      <c r="AH254" s="17"/>
      <c r="AI254" s="26">
        <f t="shared" si="227"/>
        <v>0</v>
      </c>
      <c r="AJ254" s="26">
        <f t="shared" si="228"/>
        <v>0</v>
      </c>
      <c r="AK254" s="26">
        <f t="shared" si="229"/>
        <v>0</v>
      </c>
      <c r="AM254" s="27">
        <v>21</v>
      </c>
      <c r="AN254" s="27">
        <f>G254*0.508503115002526</f>
        <v>0</v>
      </c>
      <c r="AO254" s="27">
        <f>G254*(1-0.508503115002526)</f>
        <v>0</v>
      </c>
      <c r="AP254" s="28" t="s">
        <v>13</v>
      </c>
      <c r="AU254" s="27">
        <f t="shared" si="230"/>
        <v>0</v>
      </c>
      <c r="AV254" s="27">
        <f t="shared" si="231"/>
        <v>0</v>
      </c>
      <c r="AW254" s="27">
        <f t="shared" si="232"/>
        <v>0</v>
      </c>
      <c r="AX254" s="29" t="s">
        <v>788</v>
      </c>
      <c r="AY254" s="29" t="s">
        <v>794</v>
      </c>
      <c r="AZ254" s="17" t="s">
        <v>796</v>
      </c>
      <c r="BB254" s="27">
        <f t="shared" si="233"/>
        <v>0</v>
      </c>
      <c r="BC254" s="27">
        <f t="shared" si="234"/>
        <v>0</v>
      </c>
      <c r="BD254" s="27">
        <v>0</v>
      </c>
      <c r="BE254" s="27">
        <f t="shared" si="235"/>
        <v>0.00096</v>
      </c>
      <c r="BG254" s="26">
        <f t="shared" si="236"/>
        <v>0</v>
      </c>
      <c r="BH254" s="26">
        <f t="shared" si="237"/>
        <v>0</v>
      </c>
      <c r="BI254" s="26">
        <f t="shared" si="238"/>
        <v>0</v>
      </c>
    </row>
    <row r="255" spans="1:61" ht="12.75">
      <c r="A255" s="24" t="s">
        <v>228</v>
      </c>
      <c r="B255" s="25"/>
      <c r="C255" s="25" t="s">
        <v>466</v>
      </c>
      <c r="D255" s="25" t="s">
        <v>714</v>
      </c>
      <c r="E255" s="25" t="s">
        <v>750</v>
      </c>
      <c r="F255" s="26">
        <v>1</v>
      </c>
      <c r="G255" s="1">
        <v>0</v>
      </c>
      <c r="H255" s="26">
        <f t="shared" si="215"/>
        <v>0</v>
      </c>
      <c r="I255" s="26">
        <f t="shared" si="216"/>
        <v>0</v>
      </c>
      <c r="J255" s="26">
        <f t="shared" si="217"/>
        <v>0</v>
      </c>
      <c r="K255" s="26">
        <v>0.01</v>
      </c>
      <c r="L255" s="26">
        <f t="shared" si="218"/>
        <v>0.01</v>
      </c>
      <c r="Y255" s="27">
        <f t="shared" si="219"/>
        <v>0</v>
      </c>
      <c r="AA255" s="27">
        <f t="shared" si="220"/>
        <v>0</v>
      </c>
      <c r="AB255" s="27">
        <f t="shared" si="221"/>
        <v>0</v>
      </c>
      <c r="AC255" s="27">
        <f t="shared" si="222"/>
        <v>0</v>
      </c>
      <c r="AD255" s="27">
        <f t="shared" si="223"/>
        <v>0</v>
      </c>
      <c r="AE255" s="27">
        <f t="shared" si="224"/>
        <v>0</v>
      </c>
      <c r="AF255" s="27">
        <f t="shared" si="225"/>
        <v>0</v>
      </c>
      <c r="AG255" s="27">
        <f t="shared" si="226"/>
        <v>0</v>
      </c>
      <c r="AH255" s="17"/>
      <c r="AI255" s="26">
        <f t="shared" si="227"/>
        <v>0</v>
      </c>
      <c r="AJ255" s="26">
        <f t="shared" si="228"/>
        <v>0</v>
      </c>
      <c r="AK255" s="26">
        <f t="shared" si="229"/>
        <v>0</v>
      </c>
      <c r="AM255" s="27">
        <v>21</v>
      </c>
      <c r="AN255" s="27">
        <f aca="true" t="shared" si="239" ref="AN255:AN263">G255*0</f>
        <v>0</v>
      </c>
      <c r="AO255" s="27">
        <f aca="true" t="shared" si="240" ref="AO255:AO263">G255*(1-0)</f>
        <v>0</v>
      </c>
      <c r="AP255" s="28" t="s">
        <v>13</v>
      </c>
      <c r="AU255" s="27">
        <f t="shared" si="230"/>
        <v>0</v>
      </c>
      <c r="AV255" s="27">
        <f t="shared" si="231"/>
        <v>0</v>
      </c>
      <c r="AW255" s="27">
        <f t="shared" si="232"/>
        <v>0</v>
      </c>
      <c r="AX255" s="29" t="s">
        <v>788</v>
      </c>
      <c r="AY255" s="29" t="s">
        <v>794</v>
      </c>
      <c r="AZ255" s="17" t="s">
        <v>796</v>
      </c>
      <c r="BB255" s="27">
        <f t="shared" si="233"/>
        <v>0</v>
      </c>
      <c r="BC255" s="27">
        <f t="shared" si="234"/>
        <v>0</v>
      </c>
      <c r="BD255" s="27">
        <v>0</v>
      </c>
      <c r="BE255" s="27">
        <f t="shared" si="235"/>
        <v>0.01</v>
      </c>
      <c r="BG255" s="26">
        <f t="shared" si="236"/>
        <v>0</v>
      </c>
      <c r="BH255" s="26">
        <f t="shared" si="237"/>
        <v>0</v>
      </c>
      <c r="BI255" s="26">
        <f t="shared" si="238"/>
        <v>0</v>
      </c>
    </row>
    <row r="256" spans="1:61" ht="12.75">
      <c r="A256" s="24" t="s">
        <v>229</v>
      </c>
      <c r="B256" s="25"/>
      <c r="C256" s="25" t="s">
        <v>865</v>
      </c>
      <c r="D256" s="25" t="s">
        <v>868</v>
      </c>
      <c r="E256" s="25" t="s">
        <v>751</v>
      </c>
      <c r="F256" s="26">
        <v>1</v>
      </c>
      <c r="G256" s="1">
        <v>0</v>
      </c>
      <c r="H256" s="26">
        <f t="shared" si="215"/>
        <v>0</v>
      </c>
      <c r="I256" s="26">
        <f t="shared" si="216"/>
        <v>0</v>
      </c>
      <c r="J256" s="26">
        <f t="shared" si="217"/>
        <v>0</v>
      </c>
      <c r="K256" s="26">
        <v>0.014</v>
      </c>
      <c r="L256" s="26">
        <f t="shared" si="218"/>
        <v>0.014</v>
      </c>
      <c r="Y256" s="27">
        <f t="shared" si="219"/>
        <v>0</v>
      </c>
      <c r="AA256" s="27">
        <f t="shared" si="220"/>
        <v>0</v>
      </c>
      <c r="AB256" s="27">
        <f t="shared" si="221"/>
        <v>0</v>
      </c>
      <c r="AC256" s="27">
        <f t="shared" si="222"/>
        <v>0</v>
      </c>
      <c r="AD256" s="27">
        <f t="shared" si="223"/>
        <v>0</v>
      </c>
      <c r="AE256" s="27">
        <f t="shared" si="224"/>
        <v>0</v>
      </c>
      <c r="AF256" s="27">
        <f t="shared" si="225"/>
        <v>0</v>
      </c>
      <c r="AG256" s="27">
        <f t="shared" si="226"/>
        <v>0</v>
      </c>
      <c r="AH256" s="17"/>
      <c r="AI256" s="26">
        <f t="shared" si="227"/>
        <v>0</v>
      </c>
      <c r="AJ256" s="26">
        <f t="shared" si="228"/>
        <v>0</v>
      </c>
      <c r="AK256" s="26">
        <f t="shared" si="229"/>
        <v>0</v>
      </c>
      <c r="AM256" s="27">
        <v>21</v>
      </c>
      <c r="AN256" s="27">
        <f t="shared" si="239"/>
        <v>0</v>
      </c>
      <c r="AO256" s="27">
        <f t="shared" si="240"/>
        <v>0</v>
      </c>
      <c r="AP256" s="28" t="s">
        <v>13</v>
      </c>
      <c r="AU256" s="27">
        <f t="shared" si="230"/>
        <v>0</v>
      </c>
      <c r="AV256" s="27">
        <f t="shared" si="231"/>
        <v>0</v>
      </c>
      <c r="AW256" s="27">
        <f t="shared" si="232"/>
        <v>0</v>
      </c>
      <c r="AX256" s="29" t="s">
        <v>788</v>
      </c>
      <c r="AY256" s="29" t="s">
        <v>794</v>
      </c>
      <c r="AZ256" s="17" t="s">
        <v>796</v>
      </c>
      <c r="BB256" s="27">
        <f t="shared" si="233"/>
        <v>0</v>
      </c>
      <c r="BC256" s="27">
        <f t="shared" si="234"/>
        <v>0</v>
      </c>
      <c r="BD256" s="27">
        <v>0</v>
      </c>
      <c r="BE256" s="27">
        <f t="shared" si="235"/>
        <v>0.014</v>
      </c>
      <c r="BG256" s="26">
        <f t="shared" si="236"/>
        <v>0</v>
      </c>
      <c r="BH256" s="26">
        <f t="shared" si="237"/>
        <v>0</v>
      </c>
      <c r="BI256" s="26">
        <f t="shared" si="238"/>
        <v>0</v>
      </c>
    </row>
    <row r="257" spans="1:61" ht="12.75">
      <c r="A257" s="24" t="s">
        <v>230</v>
      </c>
      <c r="B257" s="25"/>
      <c r="C257" s="25" t="s">
        <v>475</v>
      </c>
      <c r="D257" s="25" t="s">
        <v>723</v>
      </c>
      <c r="E257" s="25" t="s">
        <v>752</v>
      </c>
      <c r="F257" s="26">
        <v>1</v>
      </c>
      <c r="G257" s="1">
        <v>0</v>
      </c>
      <c r="H257" s="26">
        <f t="shared" si="215"/>
        <v>0</v>
      </c>
      <c r="I257" s="26">
        <f t="shared" si="216"/>
        <v>0</v>
      </c>
      <c r="J257" s="26">
        <f t="shared" si="217"/>
        <v>0</v>
      </c>
      <c r="K257" s="26">
        <v>0</v>
      </c>
      <c r="L257" s="26">
        <f t="shared" si="218"/>
        <v>0</v>
      </c>
      <c r="Y257" s="27">
        <f t="shared" si="219"/>
        <v>0</v>
      </c>
      <c r="AA257" s="27">
        <f t="shared" si="220"/>
        <v>0</v>
      </c>
      <c r="AB257" s="27">
        <f t="shared" si="221"/>
        <v>0</v>
      </c>
      <c r="AC257" s="27">
        <f t="shared" si="222"/>
        <v>0</v>
      </c>
      <c r="AD257" s="27">
        <f t="shared" si="223"/>
        <v>0</v>
      </c>
      <c r="AE257" s="27">
        <f t="shared" si="224"/>
        <v>0</v>
      </c>
      <c r="AF257" s="27">
        <f t="shared" si="225"/>
        <v>0</v>
      </c>
      <c r="AG257" s="27">
        <f t="shared" si="226"/>
        <v>0</v>
      </c>
      <c r="AH257" s="17"/>
      <c r="AI257" s="26">
        <f t="shared" si="227"/>
        <v>0</v>
      </c>
      <c r="AJ257" s="26">
        <f t="shared" si="228"/>
        <v>0</v>
      </c>
      <c r="AK257" s="26">
        <f t="shared" si="229"/>
        <v>0</v>
      </c>
      <c r="AM257" s="27">
        <v>21</v>
      </c>
      <c r="AN257" s="27">
        <f t="shared" si="239"/>
        <v>0</v>
      </c>
      <c r="AO257" s="27">
        <f t="shared" si="240"/>
        <v>0</v>
      </c>
      <c r="AP257" s="28" t="s">
        <v>11</v>
      </c>
      <c r="AU257" s="27">
        <f t="shared" si="230"/>
        <v>0</v>
      </c>
      <c r="AV257" s="27">
        <f t="shared" si="231"/>
        <v>0</v>
      </c>
      <c r="AW257" s="27">
        <f t="shared" si="232"/>
        <v>0</v>
      </c>
      <c r="AX257" s="29" t="s">
        <v>788</v>
      </c>
      <c r="AY257" s="29" t="s">
        <v>794</v>
      </c>
      <c r="AZ257" s="17" t="s">
        <v>796</v>
      </c>
      <c r="BB257" s="27">
        <f t="shared" si="233"/>
        <v>0</v>
      </c>
      <c r="BC257" s="27">
        <f t="shared" si="234"/>
        <v>0</v>
      </c>
      <c r="BD257" s="27">
        <v>0</v>
      </c>
      <c r="BE257" s="27">
        <f t="shared" si="235"/>
        <v>0</v>
      </c>
      <c r="BG257" s="26">
        <f t="shared" si="236"/>
        <v>0</v>
      </c>
      <c r="BH257" s="26">
        <f t="shared" si="237"/>
        <v>0</v>
      </c>
      <c r="BI257" s="26">
        <f t="shared" si="238"/>
        <v>0</v>
      </c>
    </row>
    <row r="258" spans="1:61" ht="12.75">
      <c r="A258" s="24" t="s">
        <v>231</v>
      </c>
      <c r="B258" s="25"/>
      <c r="C258" s="25" t="s">
        <v>476</v>
      </c>
      <c r="D258" s="25" t="s">
        <v>724</v>
      </c>
      <c r="E258" s="25" t="s">
        <v>752</v>
      </c>
      <c r="F258" s="26">
        <v>1</v>
      </c>
      <c r="G258" s="1">
        <v>0</v>
      </c>
      <c r="H258" s="26">
        <f t="shared" si="215"/>
        <v>0</v>
      </c>
      <c r="I258" s="26">
        <f t="shared" si="216"/>
        <v>0</v>
      </c>
      <c r="J258" s="26">
        <f t="shared" si="217"/>
        <v>0</v>
      </c>
      <c r="K258" s="26">
        <v>0</v>
      </c>
      <c r="L258" s="26">
        <f t="shared" si="218"/>
        <v>0</v>
      </c>
      <c r="Y258" s="27">
        <f t="shared" si="219"/>
        <v>0</v>
      </c>
      <c r="AA258" s="27">
        <f t="shared" si="220"/>
        <v>0</v>
      </c>
      <c r="AB258" s="27">
        <f t="shared" si="221"/>
        <v>0</v>
      </c>
      <c r="AC258" s="27">
        <f t="shared" si="222"/>
        <v>0</v>
      </c>
      <c r="AD258" s="27">
        <f t="shared" si="223"/>
        <v>0</v>
      </c>
      <c r="AE258" s="27">
        <f t="shared" si="224"/>
        <v>0</v>
      </c>
      <c r="AF258" s="27">
        <f t="shared" si="225"/>
        <v>0</v>
      </c>
      <c r="AG258" s="27">
        <f t="shared" si="226"/>
        <v>0</v>
      </c>
      <c r="AH258" s="17"/>
      <c r="AI258" s="26">
        <f t="shared" si="227"/>
        <v>0</v>
      </c>
      <c r="AJ258" s="26">
        <f t="shared" si="228"/>
        <v>0</v>
      </c>
      <c r="AK258" s="26">
        <f t="shared" si="229"/>
        <v>0</v>
      </c>
      <c r="AM258" s="27">
        <v>21</v>
      </c>
      <c r="AN258" s="27">
        <f t="shared" si="239"/>
        <v>0</v>
      </c>
      <c r="AO258" s="27">
        <f t="shared" si="240"/>
        <v>0</v>
      </c>
      <c r="AP258" s="28" t="s">
        <v>11</v>
      </c>
      <c r="AU258" s="27">
        <f t="shared" si="230"/>
        <v>0</v>
      </c>
      <c r="AV258" s="27">
        <f t="shared" si="231"/>
        <v>0</v>
      </c>
      <c r="AW258" s="27">
        <f t="shared" si="232"/>
        <v>0</v>
      </c>
      <c r="AX258" s="29" t="s">
        <v>788</v>
      </c>
      <c r="AY258" s="29" t="s">
        <v>794</v>
      </c>
      <c r="AZ258" s="17" t="s">
        <v>796</v>
      </c>
      <c r="BB258" s="27">
        <f t="shared" si="233"/>
        <v>0</v>
      </c>
      <c r="BC258" s="27">
        <f t="shared" si="234"/>
        <v>0</v>
      </c>
      <c r="BD258" s="27">
        <v>0</v>
      </c>
      <c r="BE258" s="27">
        <f t="shared" si="235"/>
        <v>0</v>
      </c>
      <c r="BG258" s="26">
        <f t="shared" si="236"/>
        <v>0</v>
      </c>
      <c r="BH258" s="26">
        <f t="shared" si="237"/>
        <v>0</v>
      </c>
      <c r="BI258" s="26">
        <f t="shared" si="238"/>
        <v>0</v>
      </c>
    </row>
    <row r="259" spans="1:61" ht="12.75">
      <c r="A259" s="24" t="s">
        <v>232</v>
      </c>
      <c r="B259" s="25"/>
      <c r="C259" s="25" t="s">
        <v>477</v>
      </c>
      <c r="D259" s="25" t="s">
        <v>725</v>
      </c>
      <c r="E259" s="25" t="s">
        <v>752</v>
      </c>
      <c r="F259" s="26">
        <v>1</v>
      </c>
      <c r="G259" s="1">
        <v>0</v>
      </c>
      <c r="H259" s="26">
        <f t="shared" si="215"/>
        <v>0</v>
      </c>
      <c r="I259" s="26">
        <f t="shared" si="216"/>
        <v>0</v>
      </c>
      <c r="J259" s="26">
        <f t="shared" si="217"/>
        <v>0</v>
      </c>
      <c r="K259" s="26">
        <v>0</v>
      </c>
      <c r="L259" s="26">
        <f t="shared" si="218"/>
        <v>0</v>
      </c>
      <c r="Y259" s="27">
        <f t="shared" si="219"/>
        <v>0</v>
      </c>
      <c r="AA259" s="27">
        <f t="shared" si="220"/>
        <v>0</v>
      </c>
      <c r="AB259" s="27">
        <f t="shared" si="221"/>
        <v>0</v>
      </c>
      <c r="AC259" s="27">
        <f t="shared" si="222"/>
        <v>0</v>
      </c>
      <c r="AD259" s="27">
        <f t="shared" si="223"/>
        <v>0</v>
      </c>
      <c r="AE259" s="27">
        <f t="shared" si="224"/>
        <v>0</v>
      </c>
      <c r="AF259" s="27">
        <f t="shared" si="225"/>
        <v>0</v>
      </c>
      <c r="AG259" s="27">
        <f t="shared" si="226"/>
        <v>0</v>
      </c>
      <c r="AH259" s="17"/>
      <c r="AI259" s="26">
        <f t="shared" si="227"/>
        <v>0</v>
      </c>
      <c r="AJ259" s="26">
        <f t="shared" si="228"/>
        <v>0</v>
      </c>
      <c r="AK259" s="26">
        <f t="shared" si="229"/>
        <v>0</v>
      </c>
      <c r="AM259" s="27">
        <v>21</v>
      </c>
      <c r="AN259" s="27">
        <f t="shared" si="239"/>
        <v>0</v>
      </c>
      <c r="AO259" s="27">
        <f t="shared" si="240"/>
        <v>0</v>
      </c>
      <c r="AP259" s="28" t="s">
        <v>11</v>
      </c>
      <c r="AU259" s="27">
        <f t="shared" si="230"/>
        <v>0</v>
      </c>
      <c r="AV259" s="27">
        <f t="shared" si="231"/>
        <v>0</v>
      </c>
      <c r="AW259" s="27">
        <f t="shared" si="232"/>
        <v>0</v>
      </c>
      <c r="AX259" s="29" t="s">
        <v>788</v>
      </c>
      <c r="AY259" s="29" t="s">
        <v>794</v>
      </c>
      <c r="AZ259" s="17" t="s">
        <v>796</v>
      </c>
      <c r="BB259" s="27">
        <f t="shared" si="233"/>
        <v>0</v>
      </c>
      <c r="BC259" s="27">
        <f t="shared" si="234"/>
        <v>0</v>
      </c>
      <c r="BD259" s="27">
        <v>0</v>
      </c>
      <c r="BE259" s="27">
        <f t="shared" si="235"/>
        <v>0</v>
      </c>
      <c r="BG259" s="26">
        <f t="shared" si="236"/>
        <v>0</v>
      </c>
      <c r="BH259" s="26">
        <f t="shared" si="237"/>
        <v>0</v>
      </c>
      <c r="BI259" s="26">
        <f t="shared" si="238"/>
        <v>0</v>
      </c>
    </row>
    <row r="260" spans="1:61" ht="12.75">
      <c r="A260" s="24" t="s">
        <v>233</v>
      </c>
      <c r="B260" s="25"/>
      <c r="C260" s="25" t="s">
        <v>478</v>
      </c>
      <c r="D260" s="25" t="s">
        <v>726</v>
      </c>
      <c r="E260" s="25" t="s">
        <v>754</v>
      </c>
      <c r="F260" s="26">
        <v>1</v>
      </c>
      <c r="G260" s="1">
        <v>0</v>
      </c>
      <c r="H260" s="26">
        <f t="shared" si="215"/>
        <v>0</v>
      </c>
      <c r="I260" s="26">
        <f t="shared" si="216"/>
        <v>0</v>
      </c>
      <c r="J260" s="26">
        <f t="shared" si="217"/>
        <v>0</v>
      </c>
      <c r="K260" s="26">
        <v>0</v>
      </c>
      <c r="L260" s="26">
        <f t="shared" si="218"/>
        <v>0</v>
      </c>
      <c r="Y260" s="27">
        <f t="shared" si="219"/>
        <v>0</v>
      </c>
      <c r="AA260" s="27">
        <f t="shared" si="220"/>
        <v>0</v>
      </c>
      <c r="AB260" s="27">
        <f t="shared" si="221"/>
        <v>0</v>
      </c>
      <c r="AC260" s="27">
        <f t="shared" si="222"/>
        <v>0</v>
      </c>
      <c r="AD260" s="27">
        <f t="shared" si="223"/>
        <v>0</v>
      </c>
      <c r="AE260" s="27">
        <f t="shared" si="224"/>
        <v>0</v>
      </c>
      <c r="AF260" s="27">
        <f t="shared" si="225"/>
        <v>0</v>
      </c>
      <c r="AG260" s="27">
        <f t="shared" si="226"/>
        <v>0</v>
      </c>
      <c r="AH260" s="17"/>
      <c r="AI260" s="26">
        <f t="shared" si="227"/>
        <v>0</v>
      </c>
      <c r="AJ260" s="26">
        <f t="shared" si="228"/>
        <v>0</v>
      </c>
      <c r="AK260" s="26">
        <f t="shared" si="229"/>
        <v>0</v>
      </c>
      <c r="AM260" s="27">
        <v>21</v>
      </c>
      <c r="AN260" s="27">
        <f t="shared" si="239"/>
        <v>0</v>
      </c>
      <c r="AO260" s="27">
        <f t="shared" si="240"/>
        <v>0</v>
      </c>
      <c r="AP260" s="28" t="s">
        <v>11</v>
      </c>
      <c r="AU260" s="27">
        <f t="shared" si="230"/>
        <v>0</v>
      </c>
      <c r="AV260" s="27">
        <f t="shared" si="231"/>
        <v>0</v>
      </c>
      <c r="AW260" s="27">
        <f t="shared" si="232"/>
        <v>0</v>
      </c>
      <c r="AX260" s="29" t="s">
        <v>788</v>
      </c>
      <c r="AY260" s="29" t="s">
        <v>794</v>
      </c>
      <c r="AZ260" s="17" t="s">
        <v>796</v>
      </c>
      <c r="BB260" s="27">
        <f t="shared" si="233"/>
        <v>0</v>
      </c>
      <c r="BC260" s="27">
        <f t="shared" si="234"/>
        <v>0</v>
      </c>
      <c r="BD260" s="27">
        <v>0</v>
      </c>
      <c r="BE260" s="27">
        <f t="shared" si="235"/>
        <v>0</v>
      </c>
      <c r="BG260" s="26">
        <f t="shared" si="236"/>
        <v>0</v>
      </c>
      <c r="BH260" s="26">
        <f t="shared" si="237"/>
        <v>0</v>
      </c>
      <c r="BI260" s="26">
        <f t="shared" si="238"/>
        <v>0</v>
      </c>
    </row>
    <row r="261" spans="1:61" ht="12.75">
      <c r="A261" s="24" t="s">
        <v>234</v>
      </c>
      <c r="B261" s="25"/>
      <c r="C261" s="25" t="s">
        <v>479</v>
      </c>
      <c r="D261" s="25" t="s">
        <v>727</v>
      </c>
      <c r="E261" s="25" t="s">
        <v>754</v>
      </c>
      <c r="F261" s="26">
        <v>1</v>
      </c>
      <c r="G261" s="1">
        <v>0</v>
      </c>
      <c r="H261" s="26">
        <f t="shared" si="215"/>
        <v>0</v>
      </c>
      <c r="I261" s="26">
        <f t="shared" si="216"/>
        <v>0</v>
      </c>
      <c r="J261" s="26">
        <f t="shared" si="217"/>
        <v>0</v>
      </c>
      <c r="K261" s="26">
        <v>0</v>
      </c>
      <c r="L261" s="26">
        <f t="shared" si="218"/>
        <v>0</v>
      </c>
      <c r="Y261" s="27">
        <f t="shared" si="219"/>
        <v>0</v>
      </c>
      <c r="AA261" s="27">
        <f t="shared" si="220"/>
        <v>0</v>
      </c>
      <c r="AB261" s="27">
        <f t="shared" si="221"/>
        <v>0</v>
      </c>
      <c r="AC261" s="27">
        <f t="shared" si="222"/>
        <v>0</v>
      </c>
      <c r="AD261" s="27">
        <f t="shared" si="223"/>
        <v>0</v>
      </c>
      <c r="AE261" s="27">
        <f t="shared" si="224"/>
        <v>0</v>
      </c>
      <c r="AF261" s="27">
        <f t="shared" si="225"/>
        <v>0</v>
      </c>
      <c r="AG261" s="27">
        <f t="shared" si="226"/>
        <v>0</v>
      </c>
      <c r="AH261" s="17"/>
      <c r="AI261" s="26">
        <f t="shared" si="227"/>
        <v>0</v>
      </c>
      <c r="AJ261" s="26">
        <f t="shared" si="228"/>
        <v>0</v>
      </c>
      <c r="AK261" s="26">
        <f t="shared" si="229"/>
        <v>0</v>
      </c>
      <c r="AM261" s="27">
        <v>21</v>
      </c>
      <c r="AN261" s="27">
        <f t="shared" si="239"/>
        <v>0</v>
      </c>
      <c r="AO261" s="27">
        <f t="shared" si="240"/>
        <v>0</v>
      </c>
      <c r="AP261" s="28" t="s">
        <v>11</v>
      </c>
      <c r="AU261" s="27">
        <f t="shared" si="230"/>
        <v>0</v>
      </c>
      <c r="AV261" s="27">
        <f t="shared" si="231"/>
        <v>0</v>
      </c>
      <c r="AW261" s="27">
        <f t="shared" si="232"/>
        <v>0</v>
      </c>
      <c r="AX261" s="29" t="s">
        <v>788</v>
      </c>
      <c r="AY261" s="29" t="s">
        <v>794</v>
      </c>
      <c r="AZ261" s="17" t="s">
        <v>796</v>
      </c>
      <c r="BB261" s="27">
        <f t="shared" si="233"/>
        <v>0</v>
      </c>
      <c r="BC261" s="27">
        <f t="shared" si="234"/>
        <v>0</v>
      </c>
      <c r="BD261" s="27">
        <v>0</v>
      </c>
      <c r="BE261" s="27">
        <f t="shared" si="235"/>
        <v>0</v>
      </c>
      <c r="BG261" s="26">
        <f t="shared" si="236"/>
        <v>0</v>
      </c>
      <c r="BH261" s="26">
        <f t="shared" si="237"/>
        <v>0</v>
      </c>
      <c r="BI261" s="26">
        <f t="shared" si="238"/>
        <v>0</v>
      </c>
    </row>
    <row r="262" spans="1:61" ht="12.75">
      <c r="A262" s="24" t="s">
        <v>235</v>
      </c>
      <c r="B262" s="25"/>
      <c r="C262" s="25" t="s">
        <v>480</v>
      </c>
      <c r="D262" s="25" t="s">
        <v>728</v>
      </c>
      <c r="E262" s="25" t="s">
        <v>754</v>
      </c>
      <c r="F262" s="26">
        <v>1</v>
      </c>
      <c r="G262" s="1">
        <v>0</v>
      </c>
      <c r="H262" s="26">
        <f t="shared" si="215"/>
        <v>0</v>
      </c>
      <c r="I262" s="26">
        <f t="shared" si="216"/>
        <v>0</v>
      </c>
      <c r="J262" s="26">
        <f t="shared" si="217"/>
        <v>0</v>
      </c>
      <c r="K262" s="26">
        <v>0</v>
      </c>
      <c r="L262" s="26">
        <f t="shared" si="218"/>
        <v>0</v>
      </c>
      <c r="Y262" s="27">
        <f t="shared" si="219"/>
        <v>0</v>
      </c>
      <c r="AA262" s="27">
        <f t="shared" si="220"/>
        <v>0</v>
      </c>
      <c r="AB262" s="27">
        <f t="shared" si="221"/>
        <v>0</v>
      </c>
      <c r="AC262" s="27">
        <f t="shared" si="222"/>
        <v>0</v>
      </c>
      <c r="AD262" s="27">
        <f t="shared" si="223"/>
        <v>0</v>
      </c>
      <c r="AE262" s="27">
        <f t="shared" si="224"/>
        <v>0</v>
      </c>
      <c r="AF262" s="27">
        <f t="shared" si="225"/>
        <v>0</v>
      </c>
      <c r="AG262" s="27">
        <f t="shared" si="226"/>
        <v>0</v>
      </c>
      <c r="AH262" s="17"/>
      <c r="AI262" s="26">
        <f t="shared" si="227"/>
        <v>0</v>
      </c>
      <c r="AJ262" s="26">
        <f t="shared" si="228"/>
        <v>0</v>
      </c>
      <c r="AK262" s="26">
        <f t="shared" si="229"/>
        <v>0</v>
      </c>
      <c r="AM262" s="27">
        <v>21</v>
      </c>
      <c r="AN262" s="27">
        <f t="shared" si="239"/>
        <v>0</v>
      </c>
      <c r="AO262" s="27">
        <f t="shared" si="240"/>
        <v>0</v>
      </c>
      <c r="AP262" s="28" t="s">
        <v>11</v>
      </c>
      <c r="AU262" s="27">
        <f t="shared" si="230"/>
        <v>0</v>
      </c>
      <c r="AV262" s="27">
        <f t="shared" si="231"/>
        <v>0</v>
      </c>
      <c r="AW262" s="27">
        <f t="shared" si="232"/>
        <v>0</v>
      </c>
      <c r="AX262" s="29" t="s">
        <v>788</v>
      </c>
      <c r="AY262" s="29" t="s">
        <v>794</v>
      </c>
      <c r="AZ262" s="17" t="s">
        <v>796</v>
      </c>
      <c r="BB262" s="27">
        <f t="shared" si="233"/>
        <v>0</v>
      </c>
      <c r="BC262" s="27">
        <f t="shared" si="234"/>
        <v>0</v>
      </c>
      <c r="BD262" s="27">
        <v>0</v>
      </c>
      <c r="BE262" s="27">
        <f t="shared" si="235"/>
        <v>0</v>
      </c>
      <c r="BG262" s="26">
        <f t="shared" si="236"/>
        <v>0</v>
      </c>
      <c r="BH262" s="26">
        <f t="shared" si="237"/>
        <v>0</v>
      </c>
      <c r="BI262" s="26">
        <f t="shared" si="238"/>
        <v>0</v>
      </c>
    </row>
    <row r="263" spans="1:61" ht="12.75">
      <c r="A263" s="24" t="s">
        <v>236</v>
      </c>
      <c r="B263" s="25"/>
      <c r="C263" s="25" t="s">
        <v>481</v>
      </c>
      <c r="D263" s="25" t="s">
        <v>729</v>
      </c>
      <c r="E263" s="25" t="s">
        <v>754</v>
      </c>
      <c r="F263" s="26">
        <v>1</v>
      </c>
      <c r="G263" s="1">
        <v>0</v>
      </c>
      <c r="H263" s="26">
        <f t="shared" si="215"/>
        <v>0</v>
      </c>
      <c r="I263" s="26">
        <f t="shared" si="216"/>
        <v>0</v>
      </c>
      <c r="J263" s="26">
        <f t="shared" si="217"/>
        <v>0</v>
      </c>
      <c r="K263" s="26">
        <v>0</v>
      </c>
      <c r="L263" s="26">
        <f t="shared" si="218"/>
        <v>0</v>
      </c>
      <c r="Y263" s="27">
        <f t="shared" si="219"/>
        <v>0</v>
      </c>
      <c r="AA263" s="27">
        <f t="shared" si="220"/>
        <v>0</v>
      </c>
      <c r="AB263" s="27">
        <f t="shared" si="221"/>
        <v>0</v>
      </c>
      <c r="AC263" s="27">
        <f t="shared" si="222"/>
        <v>0</v>
      </c>
      <c r="AD263" s="27">
        <f t="shared" si="223"/>
        <v>0</v>
      </c>
      <c r="AE263" s="27">
        <f t="shared" si="224"/>
        <v>0</v>
      </c>
      <c r="AF263" s="27">
        <f t="shared" si="225"/>
        <v>0</v>
      </c>
      <c r="AG263" s="27">
        <f t="shared" si="226"/>
        <v>0</v>
      </c>
      <c r="AH263" s="17"/>
      <c r="AI263" s="26">
        <f t="shared" si="227"/>
        <v>0</v>
      </c>
      <c r="AJ263" s="26">
        <f t="shared" si="228"/>
        <v>0</v>
      </c>
      <c r="AK263" s="26">
        <f t="shared" si="229"/>
        <v>0</v>
      </c>
      <c r="AM263" s="27">
        <v>21</v>
      </c>
      <c r="AN263" s="27">
        <f t="shared" si="239"/>
        <v>0</v>
      </c>
      <c r="AO263" s="27">
        <f t="shared" si="240"/>
        <v>0</v>
      </c>
      <c r="AP263" s="28" t="s">
        <v>11</v>
      </c>
      <c r="AU263" s="27">
        <f t="shared" si="230"/>
        <v>0</v>
      </c>
      <c r="AV263" s="27">
        <f t="shared" si="231"/>
        <v>0</v>
      </c>
      <c r="AW263" s="27">
        <f t="shared" si="232"/>
        <v>0</v>
      </c>
      <c r="AX263" s="29" t="s">
        <v>788</v>
      </c>
      <c r="AY263" s="29" t="s">
        <v>794</v>
      </c>
      <c r="AZ263" s="17" t="s">
        <v>796</v>
      </c>
      <c r="BB263" s="27">
        <f t="shared" si="233"/>
        <v>0</v>
      </c>
      <c r="BC263" s="27">
        <f t="shared" si="234"/>
        <v>0</v>
      </c>
      <c r="BD263" s="27">
        <v>0</v>
      </c>
      <c r="BE263" s="27">
        <f t="shared" si="235"/>
        <v>0</v>
      </c>
      <c r="BG263" s="26">
        <f t="shared" si="236"/>
        <v>0</v>
      </c>
      <c r="BH263" s="26">
        <f t="shared" si="237"/>
        <v>0</v>
      </c>
      <c r="BI263" s="26">
        <f t="shared" si="238"/>
        <v>0</v>
      </c>
    </row>
    <row r="264" spans="1:46" ht="12.75">
      <c r="A264" s="30"/>
      <c r="B264" s="31"/>
      <c r="C264" s="31" t="s">
        <v>96</v>
      </c>
      <c r="D264" s="31" t="s">
        <v>730</v>
      </c>
      <c r="E264" s="32" t="s">
        <v>6</v>
      </c>
      <c r="F264" s="32" t="s">
        <v>6</v>
      </c>
      <c r="G264" s="32" t="s">
        <v>6</v>
      </c>
      <c r="H264" s="23">
        <f>SUM(H265:H268)</f>
        <v>0</v>
      </c>
      <c r="I264" s="23">
        <f>SUM(I265:I268)</f>
        <v>0</v>
      </c>
      <c r="J264" s="23">
        <f>SUM(J265:J268)</f>
        <v>0</v>
      </c>
      <c r="K264" s="17"/>
      <c r="L264" s="23">
        <f>SUM(L265:L268)</f>
        <v>0</v>
      </c>
      <c r="AH264" s="17"/>
      <c r="AR264" s="23">
        <f>SUM(AI265:AI268)</f>
        <v>0</v>
      </c>
      <c r="AS264" s="23">
        <f>SUM(AJ265:AJ268)</f>
        <v>0</v>
      </c>
      <c r="AT264" s="23">
        <f>SUM(AK265:AK268)</f>
        <v>0</v>
      </c>
    </row>
    <row r="265" spans="1:61" ht="12.75">
      <c r="A265" s="24" t="s">
        <v>237</v>
      </c>
      <c r="B265" s="25"/>
      <c r="C265" s="25" t="s">
        <v>482</v>
      </c>
      <c r="D265" s="25" t="s">
        <v>731</v>
      </c>
      <c r="E265" s="25" t="s">
        <v>757</v>
      </c>
      <c r="F265" s="26">
        <v>1</v>
      </c>
      <c r="G265" s="1">
        <v>0</v>
      </c>
      <c r="H265" s="26">
        <f>F265*AN265</f>
        <v>0</v>
      </c>
      <c r="I265" s="26">
        <f>F265*AO265</f>
        <v>0</v>
      </c>
      <c r="J265" s="26">
        <f>F265*G265</f>
        <v>0</v>
      </c>
      <c r="K265" s="26">
        <v>0</v>
      </c>
      <c r="L265" s="26">
        <f>F265*K265</f>
        <v>0</v>
      </c>
      <c r="Y265" s="27">
        <f>IF(AP265="5",BI265,0)</f>
        <v>0</v>
      </c>
      <c r="AA265" s="27">
        <f>IF(AP265="1",BG265,0)</f>
        <v>0</v>
      </c>
      <c r="AB265" s="27">
        <f>IF(AP265="1",BH265,0)</f>
        <v>0</v>
      </c>
      <c r="AC265" s="27">
        <f>IF(AP265="7",BG265,0)</f>
        <v>0</v>
      </c>
      <c r="AD265" s="27">
        <f>IF(AP265="7",BH265,0)</f>
        <v>0</v>
      </c>
      <c r="AE265" s="27">
        <f>IF(AP265="2",BG265,0)</f>
        <v>0</v>
      </c>
      <c r="AF265" s="27">
        <f>IF(AP265="2",BH265,0)</f>
        <v>0</v>
      </c>
      <c r="AG265" s="27">
        <f>IF(AP265="0",BI265,0)</f>
        <v>0</v>
      </c>
      <c r="AH265" s="17"/>
      <c r="AI265" s="26">
        <f>IF(AM265=0,J265,0)</f>
        <v>0</v>
      </c>
      <c r="AJ265" s="26">
        <f>IF(AM265=15,J265,0)</f>
        <v>0</v>
      </c>
      <c r="AK265" s="26">
        <f>IF(AM265=21,J265,0)</f>
        <v>0</v>
      </c>
      <c r="AM265" s="27">
        <v>21</v>
      </c>
      <c r="AN265" s="27">
        <f>G265*0</f>
        <v>0</v>
      </c>
      <c r="AO265" s="27">
        <f>G265*(1-0)</f>
        <v>0</v>
      </c>
      <c r="AP265" s="28" t="s">
        <v>7</v>
      </c>
      <c r="AU265" s="27">
        <f>AV265+AW265</f>
        <v>0</v>
      </c>
      <c r="AV265" s="27">
        <f>F265*AN265</f>
        <v>0</v>
      </c>
      <c r="AW265" s="27">
        <f>F265*AO265</f>
        <v>0</v>
      </c>
      <c r="AX265" s="29" t="s">
        <v>789</v>
      </c>
      <c r="AY265" s="29" t="s">
        <v>795</v>
      </c>
      <c r="AZ265" s="17" t="s">
        <v>796</v>
      </c>
      <c r="BB265" s="27">
        <f>AV265+AW265</f>
        <v>0</v>
      </c>
      <c r="BC265" s="27">
        <f>G265/(100-BD265)*100</f>
        <v>0</v>
      </c>
      <c r="BD265" s="27">
        <v>0</v>
      </c>
      <c r="BE265" s="27">
        <f>L265</f>
        <v>0</v>
      </c>
      <c r="BG265" s="26">
        <f>F265*AN265</f>
        <v>0</v>
      </c>
      <c r="BH265" s="26">
        <f>F265*AO265</f>
        <v>0</v>
      </c>
      <c r="BI265" s="26">
        <f>F265*G265</f>
        <v>0</v>
      </c>
    </row>
    <row r="266" spans="1:61" ht="12.75">
      <c r="A266" s="24" t="s">
        <v>238</v>
      </c>
      <c r="B266" s="25"/>
      <c r="C266" s="25" t="s">
        <v>483</v>
      </c>
      <c r="D266" s="25" t="s">
        <v>732</v>
      </c>
      <c r="E266" s="25" t="s">
        <v>757</v>
      </c>
      <c r="F266" s="26">
        <v>1</v>
      </c>
      <c r="G266" s="1">
        <v>0</v>
      </c>
      <c r="H266" s="26">
        <f>F266*AN266</f>
        <v>0</v>
      </c>
      <c r="I266" s="26">
        <f>F266*AO266</f>
        <v>0</v>
      </c>
      <c r="J266" s="26">
        <f>F266*G266</f>
        <v>0</v>
      </c>
      <c r="K266" s="26">
        <v>0</v>
      </c>
      <c r="L266" s="26">
        <f>F266*K266</f>
        <v>0</v>
      </c>
      <c r="Y266" s="27">
        <f>IF(AP266="5",BI266,0)</f>
        <v>0</v>
      </c>
      <c r="AA266" s="27">
        <f>IF(AP266="1",BG266,0)</f>
        <v>0</v>
      </c>
      <c r="AB266" s="27">
        <f>IF(AP266="1",BH266,0)</f>
        <v>0</v>
      </c>
      <c r="AC266" s="27">
        <f>IF(AP266="7",BG266,0)</f>
        <v>0</v>
      </c>
      <c r="AD266" s="27">
        <f>IF(AP266="7",BH266,0)</f>
        <v>0</v>
      </c>
      <c r="AE266" s="27">
        <f>IF(AP266="2",BG266,0)</f>
        <v>0</v>
      </c>
      <c r="AF266" s="27">
        <f>IF(AP266="2",BH266,0)</f>
        <v>0</v>
      </c>
      <c r="AG266" s="27">
        <f>IF(AP266="0",BI266,0)</f>
        <v>0</v>
      </c>
      <c r="AH266" s="17"/>
      <c r="AI266" s="26">
        <f>IF(AM266=0,J266,0)</f>
        <v>0</v>
      </c>
      <c r="AJ266" s="26">
        <f>IF(AM266=15,J266,0)</f>
        <v>0</v>
      </c>
      <c r="AK266" s="26">
        <f>IF(AM266=21,J266,0)</f>
        <v>0</v>
      </c>
      <c r="AM266" s="27">
        <v>21</v>
      </c>
      <c r="AN266" s="27">
        <f>G266*0</f>
        <v>0</v>
      </c>
      <c r="AO266" s="27">
        <f>G266*(1-0)</f>
        <v>0</v>
      </c>
      <c r="AP266" s="28" t="s">
        <v>7</v>
      </c>
      <c r="AU266" s="27">
        <f>AV266+AW266</f>
        <v>0</v>
      </c>
      <c r="AV266" s="27">
        <f>F266*AN266</f>
        <v>0</v>
      </c>
      <c r="AW266" s="27">
        <f>F266*AO266</f>
        <v>0</v>
      </c>
      <c r="AX266" s="29" t="s">
        <v>789</v>
      </c>
      <c r="AY266" s="29" t="s">
        <v>795</v>
      </c>
      <c r="AZ266" s="17" t="s">
        <v>796</v>
      </c>
      <c r="BB266" s="27">
        <f>AV266+AW266</f>
        <v>0</v>
      </c>
      <c r="BC266" s="27">
        <f>G266/(100-BD266)*100</f>
        <v>0</v>
      </c>
      <c r="BD266" s="27">
        <v>0</v>
      </c>
      <c r="BE266" s="27">
        <f>L266</f>
        <v>0</v>
      </c>
      <c r="BG266" s="26">
        <f>F266*AN266</f>
        <v>0</v>
      </c>
      <c r="BH266" s="26">
        <f>F266*AO266</f>
        <v>0</v>
      </c>
      <c r="BI266" s="26">
        <f>F266*G266</f>
        <v>0</v>
      </c>
    </row>
    <row r="267" spans="1:61" ht="12.75">
      <c r="A267" s="24" t="s">
        <v>239</v>
      </c>
      <c r="B267" s="25"/>
      <c r="C267" s="25" t="s">
        <v>484</v>
      </c>
      <c r="D267" s="25" t="s">
        <v>733</v>
      </c>
      <c r="E267" s="25" t="s">
        <v>757</v>
      </c>
      <c r="F267" s="26">
        <v>1</v>
      </c>
      <c r="G267" s="1">
        <v>0</v>
      </c>
      <c r="H267" s="26">
        <f>F267*AN267</f>
        <v>0</v>
      </c>
      <c r="I267" s="26">
        <f>F267*AO267</f>
        <v>0</v>
      </c>
      <c r="J267" s="26">
        <f>F267*G267</f>
        <v>0</v>
      </c>
      <c r="K267" s="26">
        <v>0</v>
      </c>
      <c r="L267" s="26">
        <f>F267*K267</f>
        <v>0</v>
      </c>
      <c r="Y267" s="27">
        <f>IF(AP267="5",BI267,0)</f>
        <v>0</v>
      </c>
      <c r="AA267" s="27">
        <f>IF(AP267="1",BG267,0)</f>
        <v>0</v>
      </c>
      <c r="AB267" s="27">
        <f>IF(AP267="1",BH267,0)</f>
        <v>0</v>
      </c>
      <c r="AC267" s="27">
        <f>IF(AP267="7",BG267,0)</f>
        <v>0</v>
      </c>
      <c r="AD267" s="27">
        <f>IF(AP267="7",BH267,0)</f>
        <v>0</v>
      </c>
      <c r="AE267" s="27">
        <f>IF(AP267="2",BG267,0)</f>
        <v>0</v>
      </c>
      <c r="AF267" s="27">
        <f>IF(AP267="2",BH267,0)</f>
        <v>0</v>
      </c>
      <c r="AG267" s="27">
        <f>IF(AP267="0",BI267,0)</f>
        <v>0</v>
      </c>
      <c r="AH267" s="17"/>
      <c r="AI267" s="26">
        <f>IF(AM267=0,J267,0)</f>
        <v>0</v>
      </c>
      <c r="AJ267" s="26">
        <f>IF(AM267=15,J267,0)</f>
        <v>0</v>
      </c>
      <c r="AK267" s="26">
        <f>IF(AM267=21,J267,0)</f>
        <v>0</v>
      </c>
      <c r="AM267" s="27">
        <v>21</v>
      </c>
      <c r="AN267" s="27">
        <f>G267*0</f>
        <v>0</v>
      </c>
      <c r="AO267" s="27">
        <f>G267*(1-0)</f>
        <v>0</v>
      </c>
      <c r="AP267" s="28" t="s">
        <v>7</v>
      </c>
      <c r="AU267" s="27">
        <f>AV267+AW267</f>
        <v>0</v>
      </c>
      <c r="AV267" s="27">
        <f>F267*AN267</f>
        <v>0</v>
      </c>
      <c r="AW267" s="27">
        <f>F267*AO267</f>
        <v>0</v>
      </c>
      <c r="AX267" s="29" t="s">
        <v>789</v>
      </c>
      <c r="AY267" s="29" t="s">
        <v>795</v>
      </c>
      <c r="AZ267" s="17" t="s">
        <v>796</v>
      </c>
      <c r="BB267" s="27">
        <f>AV267+AW267</f>
        <v>0</v>
      </c>
      <c r="BC267" s="27">
        <f>G267/(100-BD267)*100</f>
        <v>0</v>
      </c>
      <c r="BD267" s="27">
        <v>0</v>
      </c>
      <c r="BE267" s="27">
        <f>L267</f>
        <v>0</v>
      </c>
      <c r="BG267" s="26">
        <f>F267*AN267</f>
        <v>0</v>
      </c>
      <c r="BH267" s="26">
        <f>F267*AO267</f>
        <v>0</v>
      </c>
      <c r="BI267" s="26">
        <f>F267*G267</f>
        <v>0</v>
      </c>
    </row>
    <row r="268" spans="1:61" ht="12.75">
      <c r="A268" s="24" t="s">
        <v>240</v>
      </c>
      <c r="B268" s="25"/>
      <c r="C268" s="25" t="s">
        <v>485</v>
      </c>
      <c r="D268" s="25" t="s">
        <v>734</v>
      </c>
      <c r="E268" s="25" t="s">
        <v>757</v>
      </c>
      <c r="F268" s="26">
        <v>1</v>
      </c>
      <c r="G268" s="1">
        <v>0</v>
      </c>
      <c r="H268" s="26">
        <f>F268*AN268</f>
        <v>0</v>
      </c>
      <c r="I268" s="26">
        <f>F268*AO268</f>
        <v>0</v>
      </c>
      <c r="J268" s="26">
        <f>F268*G268</f>
        <v>0</v>
      </c>
      <c r="K268" s="26">
        <v>0</v>
      </c>
      <c r="L268" s="26">
        <f>F268*K268</f>
        <v>0</v>
      </c>
      <c r="Y268" s="27">
        <f>IF(AP268="5",BI268,0)</f>
        <v>0</v>
      </c>
      <c r="AA268" s="27">
        <f>IF(AP268="1",BG268,0)</f>
        <v>0</v>
      </c>
      <c r="AB268" s="27">
        <f>IF(AP268="1",BH268,0)</f>
        <v>0</v>
      </c>
      <c r="AC268" s="27">
        <f>IF(AP268="7",BG268,0)</f>
        <v>0</v>
      </c>
      <c r="AD268" s="27">
        <f>IF(AP268="7",BH268,0)</f>
        <v>0</v>
      </c>
      <c r="AE268" s="27">
        <f>IF(AP268="2",BG268,0)</f>
        <v>0</v>
      </c>
      <c r="AF268" s="27">
        <f>IF(AP268="2",BH268,0)</f>
        <v>0</v>
      </c>
      <c r="AG268" s="27">
        <f>IF(AP268="0",BI268,0)</f>
        <v>0</v>
      </c>
      <c r="AH268" s="17"/>
      <c r="AI268" s="26">
        <f>IF(AM268=0,J268,0)</f>
        <v>0</v>
      </c>
      <c r="AJ268" s="26">
        <f>IF(AM268=15,J268,0)</f>
        <v>0</v>
      </c>
      <c r="AK268" s="26">
        <f>IF(AM268=21,J268,0)</f>
        <v>0</v>
      </c>
      <c r="AM268" s="27">
        <v>21</v>
      </c>
      <c r="AN268" s="27">
        <f>G268*0</f>
        <v>0</v>
      </c>
      <c r="AO268" s="27">
        <f>G268*(1-0)</f>
        <v>0</v>
      </c>
      <c r="AP268" s="28" t="s">
        <v>7</v>
      </c>
      <c r="AU268" s="27">
        <f>AV268+AW268</f>
        <v>0</v>
      </c>
      <c r="AV268" s="27">
        <f>F268*AN268</f>
        <v>0</v>
      </c>
      <c r="AW268" s="27">
        <f>F268*AO268</f>
        <v>0</v>
      </c>
      <c r="AX268" s="29" t="s">
        <v>789</v>
      </c>
      <c r="AY268" s="29" t="s">
        <v>795</v>
      </c>
      <c r="AZ268" s="17" t="s">
        <v>796</v>
      </c>
      <c r="BB268" s="27">
        <f>AV268+AW268</f>
        <v>0</v>
      </c>
      <c r="BC268" s="27">
        <f>G268/(100-BD268)*100</f>
        <v>0</v>
      </c>
      <c r="BD268" s="27">
        <v>0</v>
      </c>
      <c r="BE268" s="27">
        <f>L268</f>
        <v>0</v>
      </c>
      <c r="BG268" s="26">
        <f>F268*AN268</f>
        <v>0</v>
      </c>
      <c r="BH268" s="26">
        <f>F268*AO268</f>
        <v>0</v>
      </c>
      <c r="BI268" s="26">
        <f>F268*G268</f>
        <v>0</v>
      </c>
    </row>
    <row r="269" spans="1:46" ht="12.75">
      <c r="A269" s="30"/>
      <c r="B269" s="31"/>
      <c r="C269" s="31" t="s">
        <v>101</v>
      </c>
      <c r="D269" s="31" t="s">
        <v>735</v>
      </c>
      <c r="E269" s="32" t="s">
        <v>6</v>
      </c>
      <c r="F269" s="32" t="s">
        <v>6</v>
      </c>
      <c r="G269" s="32" t="s">
        <v>6</v>
      </c>
      <c r="H269" s="23">
        <f>SUM(H270:H273)</f>
        <v>0</v>
      </c>
      <c r="I269" s="23">
        <f>SUM(I270:I273)</f>
        <v>0</v>
      </c>
      <c r="J269" s="23">
        <f>SUM(J270:J273)</f>
        <v>0</v>
      </c>
      <c r="K269" s="17"/>
      <c r="L269" s="23">
        <f>SUM(L270:L273)</f>
        <v>9E-05</v>
      </c>
      <c r="AH269" s="17"/>
      <c r="AR269" s="23">
        <f>SUM(AI270:AI273)</f>
        <v>0</v>
      </c>
      <c r="AS269" s="23">
        <f>SUM(AJ270:AJ273)</f>
        <v>0</v>
      </c>
      <c r="AT269" s="23">
        <f>SUM(AK270:AK273)</f>
        <v>0</v>
      </c>
    </row>
    <row r="270" spans="1:61" ht="12.75">
      <c r="A270" s="24" t="s">
        <v>241</v>
      </c>
      <c r="B270" s="25"/>
      <c r="C270" s="25" t="s">
        <v>486</v>
      </c>
      <c r="D270" s="25" t="s">
        <v>736</v>
      </c>
      <c r="E270" s="25" t="s">
        <v>750</v>
      </c>
      <c r="F270" s="26">
        <v>1</v>
      </c>
      <c r="G270" s="1">
        <v>0</v>
      </c>
      <c r="H270" s="26">
        <f>F270*AN270</f>
        <v>0</v>
      </c>
      <c r="I270" s="26">
        <f>F270*AO270</f>
        <v>0</v>
      </c>
      <c r="J270" s="26">
        <f>F270*G270</f>
        <v>0</v>
      </c>
      <c r="K270" s="26">
        <v>1E-05</v>
      </c>
      <c r="L270" s="26">
        <f>F270*K270</f>
        <v>1E-05</v>
      </c>
      <c r="Y270" s="27">
        <f>IF(AP270="5",BI270,0)</f>
        <v>0</v>
      </c>
      <c r="AA270" s="27">
        <f>IF(AP270="1",BG270,0)</f>
        <v>0</v>
      </c>
      <c r="AB270" s="27">
        <f>IF(AP270="1",BH270,0)</f>
        <v>0</v>
      </c>
      <c r="AC270" s="27">
        <f>IF(AP270="7",BG270,0)</f>
        <v>0</v>
      </c>
      <c r="AD270" s="27">
        <f>IF(AP270="7",BH270,0)</f>
        <v>0</v>
      </c>
      <c r="AE270" s="27">
        <f>IF(AP270="2",BG270,0)</f>
        <v>0</v>
      </c>
      <c r="AF270" s="27">
        <f>IF(AP270="2",BH270,0)</f>
        <v>0</v>
      </c>
      <c r="AG270" s="27">
        <f>IF(AP270="0",BI270,0)</f>
        <v>0</v>
      </c>
      <c r="AH270" s="17"/>
      <c r="AI270" s="26">
        <f>IF(AM270=0,J270,0)</f>
        <v>0</v>
      </c>
      <c r="AJ270" s="26">
        <f>IF(AM270=15,J270,0)</f>
        <v>0</v>
      </c>
      <c r="AK270" s="26">
        <f>IF(AM270=21,J270,0)</f>
        <v>0</v>
      </c>
      <c r="AM270" s="27">
        <v>21</v>
      </c>
      <c r="AN270" s="27">
        <f>G270*0.0195918367346939</f>
        <v>0</v>
      </c>
      <c r="AO270" s="27">
        <f>G270*(1-0.0195918367346939)</f>
        <v>0</v>
      </c>
      <c r="AP270" s="28" t="s">
        <v>7</v>
      </c>
      <c r="AU270" s="27">
        <f>AV270+AW270</f>
        <v>0</v>
      </c>
      <c r="AV270" s="27">
        <f>F270*AN270</f>
        <v>0</v>
      </c>
      <c r="AW270" s="27">
        <f>F270*AO270</f>
        <v>0</v>
      </c>
      <c r="AX270" s="29" t="s">
        <v>790</v>
      </c>
      <c r="AY270" s="29" t="s">
        <v>795</v>
      </c>
      <c r="AZ270" s="17" t="s">
        <v>796</v>
      </c>
      <c r="BB270" s="27">
        <f>AV270+AW270</f>
        <v>0</v>
      </c>
      <c r="BC270" s="27">
        <f>G270/(100-BD270)*100</f>
        <v>0</v>
      </c>
      <c r="BD270" s="27">
        <v>0</v>
      </c>
      <c r="BE270" s="27">
        <f>L270</f>
        <v>1E-05</v>
      </c>
      <c r="BG270" s="26">
        <f>F270*AN270</f>
        <v>0</v>
      </c>
      <c r="BH270" s="26">
        <f>F270*AO270</f>
        <v>0</v>
      </c>
      <c r="BI270" s="26">
        <f>F270*G270</f>
        <v>0</v>
      </c>
    </row>
    <row r="271" spans="1:61" ht="12.75">
      <c r="A271" s="24" t="s">
        <v>242</v>
      </c>
      <c r="B271" s="25"/>
      <c r="C271" s="25" t="s">
        <v>487</v>
      </c>
      <c r="D271" s="25" t="s">
        <v>737</v>
      </c>
      <c r="E271" s="25" t="s">
        <v>750</v>
      </c>
      <c r="F271" s="26">
        <v>1</v>
      </c>
      <c r="G271" s="1">
        <v>0</v>
      </c>
      <c r="H271" s="26">
        <f>F271*AN271</f>
        <v>0</v>
      </c>
      <c r="I271" s="26">
        <f>F271*AO271</f>
        <v>0</v>
      </c>
      <c r="J271" s="26">
        <f>F271*G271</f>
        <v>0</v>
      </c>
      <c r="K271" s="26">
        <v>0</v>
      </c>
      <c r="L271" s="26">
        <f>F271*K271</f>
        <v>0</v>
      </c>
      <c r="Y271" s="27">
        <f>IF(AP271="5",BI271,0)</f>
        <v>0</v>
      </c>
      <c r="AA271" s="27">
        <f>IF(AP271="1",BG271,0)</f>
        <v>0</v>
      </c>
      <c r="AB271" s="27">
        <f>IF(AP271="1",BH271,0)</f>
        <v>0</v>
      </c>
      <c r="AC271" s="27">
        <f>IF(AP271="7",BG271,0)</f>
        <v>0</v>
      </c>
      <c r="AD271" s="27">
        <f>IF(AP271="7",BH271,0)</f>
        <v>0</v>
      </c>
      <c r="AE271" s="27">
        <f>IF(AP271="2",BG271,0)</f>
        <v>0</v>
      </c>
      <c r="AF271" s="27">
        <f>IF(AP271="2",BH271,0)</f>
        <v>0</v>
      </c>
      <c r="AG271" s="27">
        <f>IF(AP271="0",BI271,0)</f>
        <v>0</v>
      </c>
      <c r="AH271" s="17"/>
      <c r="AI271" s="26">
        <f>IF(AM271=0,J271,0)</f>
        <v>0</v>
      </c>
      <c r="AJ271" s="26">
        <f>IF(AM271=15,J271,0)</f>
        <v>0</v>
      </c>
      <c r="AK271" s="26">
        <f>IF(AM271=21,J271,0)</f>
        <v>0</v>
      </c>
      <c r="AM271" s="27">
        <v>21</v>
      </c>
      <c r="AN271" s="27">
        <f>G271*0</f>
        <v>0</v>
      </c>
      <c r="AO271" s="27">
        <f>G271*(1-0)</f>
        <v>0</v>
      </c>
      <c r="AP271" s="28" t="s">
        <v>7</v>
      </c>
      <c r="AU271" s="27">
        <f>AV271+AW271</f>
        <v>0</v>
      </c>
      <c r="AV271" s="27">
        <f>F271*AN271</f>
        <v>0</v>
      </c>
      <c r="AW271" s="27">
        <f>F271*AO271</f>
        <v>0</v>
      </c>
      <c r="AX271" s="29" t="s">
        <v>790</v>
      </c>
      <c r="AY271" s="29" t="s">
        <v>795</v>
      </c>
      <c r="AZ271" s="17" t="s">
        <v>796</v>
      </c>
      <c r="BB271" s="27">
        <f>AV271+AW271</f>
        <v>0</v>
      </c>
      <c r="BC271" s="27">
        <f>G271/(100-BD271)*100</f>
        <v>0</v>
      </c>
      <c r="BD271" s="27">
        <v>0</v>
      </c>
      <c r="BE271" s="27">
        <f>L271</f>
        <v>0</v>
      </c>
      <c r="BG271" s="26">
        <f>F271*AN271</f>
        <v>0</v>
      </c>
      <c r="BH271" s="26">
        <f>F271*AO271</f>
        <v>0</v>
      </c>
      <c r="BI271" s="26">
        <f>F271*G271</f>
        <v>0</v>
      </c>
    </row>
    <row r="272" spans="1:61" ht="12.75">
      <c r="A272" s="24" t="s">
        <v>243</v>
      </c>
      <c r="B272" s="25"/>
      <c r="C272" s="25" t="s">
        <v>488</v>
      </c>
      <c r="D272" s="25" t="s">
        <v>738</v>
      </c>
      <c r="E272" s="25" t="s">
        <v>750</v>
      </c>
      <c r="F272" s="26">
        <v>1</v>
      </c>
      <c r="G272" s="1">
        <v>0</v>
      </c>
      <c r="H272" s="26">
        <f>F272*AN272</f>
        <v>0</v>
      </c>
      <c r="I272" s="26">
        <f>F272*AO272</f>
        <v>0</v>
      </c>
      <c r="J272" s="26">
        <f>F272*G272</f>
        <v>0</v>
      </c>
      <c r="K272" s="26">
        <v>4E-05</v>
      </c>
      <c r="L272" s="26">
        <f>F272*K272</f>
        <v>4E-05</v>
      </c>
      <c r="Y272" s="27">
        <f>IF(AP272="5",BI272,0)</f>
        <v>0</v>
      </c>
      <c r="AA272" s="27">
        <f>IF(AP272="1",BG272,0)</f>
        <v>0</v>
      </c>
      <c r="AB272" s="27">
        <f>IF(AP272="1",BH272,0)</f>
        <v>0</v>
      </c>
      <c r="AC272" s="27">
        <f>IF(AP272="7",BG272,0)</f>
        <v>0</v>
      </c>
      <c r="AD272" s="27">
        <f>IF(AP272="7",BH272,0)</f>
        <v>0</v>
      </c>
      <c r="AE272" s="27">
        <f>IF(AP272="2",BG272,0)</f>
        <v>0</v>
      </c>
      <c r="AF272" s="27">
        <f>IF(AP272="2",BH272,0)</f>
        <v>0</v>
      </c>
      <c r="AG272" s="27">
        <f>IF(AP272="0",BI272,0)</f>
        <v>0</v>
      </c>
      <c r="AH272" s="17"/>
      <c r="AI272" s="26">
        <f>IF(AM272=0,J272,0)</f>
        <v>0</v>
      </c>
      <c r="AJ272" s="26">
        <f>IF(AM272=15,J272,0)</f>
        <v>0</v>
      </c>
      <c r="AK272" s="26">
        <f>IF(AM272=21,J272,0)</f>
        <v>0</v>
      </c>
      <c r="AM272" s="27">
        <v>21</v>
      </c>
      <c r="AN272" s="27">
        <f>G272*0.0123809523809524</f>
        <v>0</v>
      </c>
      <c r="AO272" s="27">
        <f>G272*(1-0.0123809523809524)</f>
        <v>0</v>
      </c>
      <c r="AP272" s="28" t="s">
        <v>7</v>
      </c>
      <c r="AU272" s="27">
        <f>AV272+AW272</f>
        <v>0</v>
      </c>
      <c r="AV272" s="27">
        <f>F272*AN272</f>
        <v>0</v>
      </c>
      <c r="AW272" s="27">
        <f>F272*AO272</f>
        <v>0</v>
      </c>
      <c r="AX272" s="29" t="s">
        <v>790</v>
      </c>
      <c r="AY272" s="29" t="s">
        <v>795</v>
      </c>
      <c r="AZ272" s="17" t="s">
        <v>796</v>
      </c>
      <c r="BB272" s="27">
        <f>AV272+AW272</f>
        <v>0</v>
      </c>
      <c r="BC272" s="27">
        <f>G272/(100-BD272)*100</f>
        <v>0</v>
      </c>
      <c r="BD272" s="27">
        <v>0</v>
      </c>
      <c r="BE272" s="27">
        <f>L272</f>
        <v>4E-05</v>
      </c>
      <c r="BG272" s="26">
        <f>F272*AN272</f>
        <v>0</v>
      </c>
      <c r="BH272" s="26">
        <f>F272*AO272</f>
        <v>0</v>
      </c>
      <c r="BI272" s="26">
        <f>F272*G272</f>
        <v>0</v>
      </c>
    </row>
    <row r="273" spans="1:61" ht="12.75">
      <c r="A273" s="24" t="s">
        <v>244</v>
      </c>
      <c r="B273" s="25"/>
      <c r="C273" s="25" t="s">
        <v>489</v>
      </c>
      <c r="D273" s="25" t="s">
        <v>739</v>
      </c>
      <c r="E273" s="25" t="s">
        <v>750</v>
      </c>
      <c r="F273" s="26">
        <v>1</v>
      </c>
      <c r="G273" s="1">
        <v>0</v>
      </c>
      <c r="H273" s="26">
        <f>F273*AN273</f>
        <v>0</v>
      </c>
      <c r="I273" s="26">
        <f>F273*AO273</f>
        <v>0</v>
      </c>
      <c r="J273" s="26">
        <f>F273*G273</f>
        <v>0</v>
      </c>
      <c r="K273" s="26">
        <v>4E-05</v>
      </c>
      <c r="L273" s="26">
        <f>F273*K273</f>
        <v>4E-05</v>
      </c>
      <c r="Y273" s="27">
        <f>IF(AP273="5",BI273,0)</f>
        <v>0</v>
      </c>
      <c r="AA273" s="27">
        <f>IF(AP273="1",BG273,0)</f>
        <v>0</v>
      </c>
      <c r="AB273" s="27">
        <f>IF(AP273="1",BH273,0)</f>
        <v>0</v>
      </c>
      <c r="AC273" s="27">
        <f>IF(AP273="7",BG273,0)</f>
        <v>0</v>
      </c>
      <c r="AD273" s="27">
        <f>IF(AP273="7",BH273,0)</f>
        <v>0</v>
      </c>
      <c r="AE273" s="27">
        <f>IF(AP273="2",BG273,0)</f>
        <v>0</v>
      </c>
      <c r="AF273" s="27">
        <f>IF(AP273="2",BH273,0)</f>
        <v>0</v>
      </c>
      <c r="AG273" s="27">
        <f>IF(AP273="0",BI273,0)</f>
        <v>0</v>
      </c>
      <c r="AH273" s="17"/>
      <c r="AI273" s="26">
        <f>IF(AM273=0,J273,0)</f>
        <v>0</v>
      </c>
      <c r="AJ273" s="26">
        <f>IF(AM273=15,J273,0)</f>
        <v>0</v>
      </c>
      <c r="AK273" s="26">
        <f>IF(AM273=21,J273,0)</f>
        <v>0</v>
      </c>
      <c r="AM273" s="27">
        <v>21</v>
      </c>
      <c r="AN273" s="27">
        <f>G273*0.0107924528301887</f>
        <v>0</v>
      </c>
      <c r="AO273" s="27">
        <f>G273*(1-0.0107924528301887)</f>
        <v>0</v>
      </c>
      <c r="AP273" s="28" t="s">
        <v>7</v>
      </c>
      <c r="AU273" s="27">
        <f>AV273+AW273</f>
        <v>0</v>
      </c>
      <c r="AV273" s="27">
        <f>F273*AN273</f>
        <v>0</v>
      </c>
      <c r="AW273" s="27">
        <f>F273*AO273</f>
        <v>0</v>
      </c>
      <c r="AX273" s="29" t="s">
        <v>790</v>
      </c>
      <c r="AY273" s="29" t="s">
        <v>795</v>
      </c>
      <c r="AZ273" s="17" t="s">
        <v>796</v>
      </c>
      <c r="BB273" s="27">
        <f>AV273+AW273</f>
        <v>0</v>
      </c>
      <c r="BC273" s="27">
        <f>G273/(100-BD273)*100</f>
        <v>0</v>
      </c>
      <c r="BD273" s="27">
        <v>0</v>
      </c>
      <c r="BE273" s="27">
        <f>L273</f>
        <v>4E-05</v>
      </c>
      <c r="BG273" s="26">
        <f>F273*AN273</f>
        <v>0</v>
      </c>
      <c r="BH273" s="26">
        <f>F273*AO273</f>
        <v>0</v>
      </c>
      <c r="BI273" s="26">
        <f>F273*G273</f>
        <v>0</v>
      </c>
    </row>
    <row r="274" spans="1:46" ht="12.75">
      <c r="A274" s="30"/>
      <c r="B274" s="31"/>
      <c r="C274" s="31" t="s">
        <v>490</v>
      </c>
      <c r="D274" s="31" t="s">
        <v>740</v>
      </c>
      <c r="E274" s="32" t="s">
        <v>6</v>
      </c>
      <c r="F274" s="32" t="s">
        <v>6</v>
      </c>
      <c r="G274" s="32" t="s">
        <v>6</v>
      </c>
      <c r="H274" s="23">
        <f>SUM(H275:H278)</f>
        <v>0</v>
      </c>
      <c r="I274" s="23">
        <f>SUM(I275:I278)</f>
        <v>0</v>
      </c>
      <c r="J274" s="23">
        <f>SUM(J275:J278)</f>
        <v>0</v>
      </c>
      <c r="K274" s="17"/>
      <c r="L274" s="23">
        <f>SUM(L275:L278)</f>
        <v>0</v>
      </c>
      <c r="AH274" s="17"/>
      <c r="AR274" s="23">
        <f>SUM(AI275:AI278)</f>
        <v>0</v>
      </c>
      <c r="AS274" s="23">
        <f>SUM(AJ275:AJ278)</f>
        <v>0</v>
      </c>
      <c r="AT274" s="23">
        <f>SUM(AK275:AK278)</f>
        <v>0</v>
      </c>
    </row>
    <row r="275" spans="1:61" ht="12.75">
      <c r="A275" s="24" t="s">
        <v>245</v>
      </c>
      <c r="B275" s="25"/>
      <c r="C275" s="25" t="s">
        <v>491</v>
      </c>
      <c r="D275" s="25" t="s">
        <v>741</v>
      </c>
      <c r="E275" s="25" t="s">
        <v>754</v>
      </c>
      <c r="F275" s="26">
        <v>1</v>
      </c>
      <c r="G275" s="1">
        <v>0</v>
      </c>
      <c r="H275" s="26">
        <f>F275*AN275</f>
        <v>0</v>
      </c>
      <c r="I275" s="26">
        <f>F275*AO275</f>
        <v>0</v>
      </c>
      <c r="J275" s="26">
        <f>F275*G275</f>
        <v>0</v>
      </c>
      <c r="K275" s="26">
        <v>0</v>
      </c>
      <c r="L275" s="26">
        <f>F275*K275</f>
        <v>0</v>
      </c>
      <c r="Y275" s="27">
        <f>IF(AP275="5",BI275,0)</f>
        <v>0</v>
      </c>
      <c r="AA275" s="27">
        <f>IF(AP275="1",BG275,0)</f>
        <v>0</v>
      </c>
      <c r="AB275" s="27">
        <f>IF(AP275="1",BH275,0)</f>
        <v>0</v>
      </c>
      <c r="AC275" s="27">
        <f>IF(AP275="7",BG275,0)</f>
        <v>0</v>
      </c>
      <c r="AD275" s="27">
        <f>IF(AP275="7",BH275,0)</f>
        <v>0</v>
      </c>
      <c r="AE275" s="27">
        <f>IF(AP275="2",BG275,0)</f>
        <v>0</v>
      </c>
      <c r="AF275" s="27">
        <f>IF(AP275="2",BH275,0)</f>
        <v>0</v>
      </c>
      <c r="AG275" s="27">
        <f>IF(AP275="0",BI275,0)</f>
        <v>0</v>
      </c>
      <c r="AH275" s="17"/>
      <c r="AI275" s="26">
        <f>IF(AM275=0,J275,0)</f>
        <v>0</v>
      </c>
      <c r="AJ275" s="26">
        <f>IF(AM275=15,J275,0)</f>
        <v>0</v>
      </c>
      <c r="AK275" s="26">
        <f>IF(AM275=21,J275,0)</f>
        <v>0</v>
      </c>
      <c r="AM275" s="27">
        <v>21</v>
      </c>
      <c r="AN275" s="27">
        <f>G275*0</f>
        <v>0</v>
      </c>
      <c r="AO275" s="27">
        <f>G275*(1-0)</f>
        <v>0</v>
      </c>
      <c r="AP275" s="28" t="s">
        <v>11</v>
      </c>
      <c r="AU275" s="27">
        <f>AV275+AW275</f>
        <v>0</v>
      </c>
      <c r="AV275" s="27">
        <f>F275*AN275</f>
        <v>0</v>
      </c>
      <c r="AW275" s="27">
        <f>F275*AO275</f>
        <v>0</v>
      </c>
      <c r="AX275" s="29" t="s">
        <v>791</v>
      </c>
      <c r="AY275" s="29" t="s">
        <v>795</v>
      </c>
      <c r="AZ275" s="17" t="s">
        <v>796</v>
      </c>
      <c r="BB275" s="27">
        <f>AV275+AW275</f>
        <v>0</v>
      </c>
      <c r="BC275" s="27">
        <f>G275/(100-BD275)*100</f>
        <v>0</v>
      </c>
      <c r="BD275" s="27">
        <v>0</v>
      </c>
      <c r="BE275" s="27">
        <f>L275</f>
        <v>0</v>
      </c>
      <c r="BG275" s="26">
        <f>F275*AN275</f>
        <v>0</v>
      </c>
      <c r="BH275" s="26">
        <f>F275*AO275</f>
        <v>0</v>
      </c>
      <c r="BI275" s="26">
        <f>F275*G275</f>
        <v>0</v>
      </c>
    </row>
    <row r="276" spans="1:61" ht="12.75">
      <c r="A276" s="24" t="s">
        <v>246</v>
      </c>
      <c r="B276" s="25"/>
      <c r="C276" s="25" t="s">
        <v>492</v>
      </c>
      <c r="D276" s="25" t="s">
        <v>742</v>
      </c>
      <c r="E276" s="25" t="s">
        <v>754</v>
      </c>
      <c r="F276" s="26">
        <v>1</v>
      </c>
      <c r="G276" s="1">
        <v>0</v>
      </c>
      <c r="H276" s="26">
        <f>F276*AN276</f>
        <v>0</v>
      </c>
      <c r="I276" s="26">
        <f>F276*AO276</f>
        <v>0</v>
      </c>
      <c r="J276" s="26">
        <f>F276*G276</f>
        <v>0</v>
      </c>
      <c r="K276" s="26">
        <v>0</v>
      </c>
      <c r="L276" s="26">
        <f>F276*K276</f>
        <v>0</v>
      </c>
      <c r="Y276" s="27">
        <f>IF(AP276="5",BI276,0)</f>
        <v>0</v>
      </c>
      <c r="AA276" s="27">
        <f>IF(AP276="1",BG276,0)</f>
        <v>0</v>
      </c>
      <c r="AB276" s="27">
        <f>IF(AP276="1",BH276,0)</f>
        <v>0</v>
      </c>
      <c r="AC276" s="27">
        <f>IF(AP276="7",BG276,0)</f>
        <v>0</v>
      </c>
      <c r="AD276" s="27">
        <f>IF(AP276="7",BH276,0)</f>
        <v>0</v>
      </c>
      <c r="AE276" s="27">
        <f>IF(AP276="2",BG276,0)</f>
        <v>0</v>
      </c>
      <c r="AF276" s="27">
        <f>IF(AP276="2",BH276,0)</f>
        <v>0</v>
      </c>
      <c r="AG276" s="27">
        <f>IF(AP276="0",BI276,0)</f>
        <v>0</v>
      </c>
      <c r="AH276" s="17"/>
      <c r="AI276" s="26">
        <f>IF(AM276=0,J276,0)</f>
        <v>0</v>
      </c>
      <c r="AJ276" s="26">
        <f>IF(AM276=15,J276,0)</f>
        <v>0</v>
      </c>
      <c r="AK276" s="26">
        <f>IF(AM276=21,J276,0)</f>
        <v>0</v>
      </c>
      <c r="AM276" s="27">
        <v>21</v>
      </c>
      <c r="AN276" s="27">
        <f>G276*0</f>
        <v>0</v>
      </c>
      <c r="AO276" s="27">
        <f>G276*(1-0)</f>
        <v>0</v>
      </c>
      <c r="AP276" s="28" t="s">
        <v>11</v>
      </c>
      <c r="AU276" s="27">
        <f>AV276+AW276</f>
        <v>0</v>
      </c>
      <c r="AV276" s="27">
        <f>F276*AN276</f>
        <v>0</v>
      </c>
      <c r="AW276" s="27">
        <f>F276*AO276</f>
        <v>0</v>
      </c>
      <c r="AX276" s="29" t="s">
        <v>791</v>
      </c>
      <c r="AY276" s="29" t="s">
        <v>795</v>
      </c>
      <c r="AZ276" s="17" t="s">
        <v>796</v>
      </c>
      <c r="BB276" s="27">
        <f>AV276+AW276</f>
        <v>0</v>
      </c>
      <c r="BC276" s="27">
        <f>G276/(100-BD276)*100</f>
        <v>0</v>
      </c>
      <c r="BD276" s="27">
        <v>0</v>
      </c>
      <c r="BE276" s="27">
        <f>L276</f>
        <v>0</v>
      </c>
      <c r="BG276" s="26">
        <f>F276*AN276</f>
        <v>0</v>
      </c>
      <c r="BH276" s="26">
        <f>F276*AO276</f>
        <v>0</v>
      </c>
      <c r="BI276" s="26">
        <f>F276*G276</f>
        <v>0</v>
      </c>
    </row>
    <row r="277" spans="1:61" ht="12.75">
      <c r="A277" s="24" t="s">
        <v>247</v>
      </c>
      <c r="B277" s="25"/>
      <c r="C277" s="25" t="s">
        <v>494</v>
      </c>
      <c r="D277" s="25" t="s">
        <v>744</v>
      </c>
      <c r="E277" s="25" t="s">
        <v>754</v>
      </c>
      <c r="F277" s="26">
        <v>1</v>
      </c>
      <c r="G277" s="1">
        <v>0</v>
      </c>
      <c r="H277" s="26">
        <f>F277*AN277</f>
        <v>0</v>
      </c>
      <c r="I277" s="26">
        <f>F277*AO277</f>
        <v>0</v>
      </c>
      <c r="J277" s="26">
        <f>F277*G277</f>
        <v>0</v>
      </c>
      <c r="K277" s="26">
        <v>0</v>
      </c>
      <c r="L277" s="26">
        <f>F277*K277</f>
        <v>0</v>
      </c>
      <c r="Y277" s="27">
        <f>IF(AP277="5",BI277,0)</f>
        <v>0</v>
      </c>
      <c r="AA277" s="27">
        <f>IF(AP277="1",BG277,0)</f>
        <v>0</v>
      </c>
      <c r="AB277" s="27">
        <f>IF(AP277="1",BH277,0)</f>
        <v>0</v>
      </c>
      <c r="AC277" s="27">
        <f>IF(AP277="7",BG277,0)</f>
        <v>0</v>
      </c>
      <c r="AD277" s="27">
        <f>IF(AP277="7",BH277,0)</f>
        <v>0</v>
      </c>
      <c r="AE277" s="27">
        <f>IF(AP277="2",BG277,0)</f>
        <v>0</v>
      </c>
      <c r="AF277" s="27">
        <f>IF(AP277="2",BH277,0)</f>
        <v>0</v>
      </c>
      <c r="AG277" s="27">
        <f>IF(AP277="0",BI277,0)</f>
        <v>0</v>
      </c>
      <c r="AH277" s="17"/>
      <c r="AI277" s="26">
        <f>IF(AM277=0,J277,0)</f>
        <v>0</v>
      </c>
      <c r="AJ277" s="26">
        <f>IF(AM277=15,J277,0)</f>
        <v>0</v>
      </c>
      <c r="AK277" s="26">
        <f>IF(AM277=21,J277,0)</f>
        <v>0</v>
      </c>
      <c r="AM277" s="27">
        <v>21</v>
      </c>
      <c r="AN277" s="27">
        <f>G277*0</f>
        <v>0</v>
      </c>
      <c r="AO277" s="27">
        <f>G277*(1-0)</f>
        <v>0</v>
      </c>
      <c r="AP277" s="28" t="s">
        <v>11</v>
      </c>
      <c r="AU277" s="27">
        <f>AV277+AW277</f>
        <v>0</v>
      </c>
      <c r="AV277" s="27">
        <f>F277*AN277</f>
        <v>0</v>
      </c>
      <c r="AW277" s="27">
        <f>F277*AO277</f>
        <v>0</v>
      </c>
      <c r="AX277" s="29" t="s">
        <v>791</v>
      </c>
      <c r="AY277" s="29" t="s">
        <v>795</v>
      </c>
      <c r="AZ277" s="17" t="s">
        <v>796</v>
      </c>
      <c r="BB277" s="27">
        <f>AV277+AW277</f>
        <v>0</v>
      </c>
      <c r="BC277" s="27">
        <f>G277/(100-BD277)*100</f>
        <v>0</v>
      </c>
      <c r="BD277" s="27">
        <v>0</v>
      </c>
      <c r="BE277" s="27">
        <f>L277</f>
        <v>0</v>
      </c>
      <c r="BG277" s="26">
        <f>F277*AN277</f>
        <v>0</v>
      </c>
      <c r="BH277" s="26">
        <f>F277*AO277</f>
        <v>0</v>
      </c>
      <c r="BI277" s="26">
        <f>F277*G277</f>
        <v>0</v>
      </c>
    </row>
    <row r="278" spans="1:61" ht="12.75">
      <c r="A278" s="40" t="s">
        <v>248</v>
      </c>
      <c r="B278" s="41"/>
      <c r="C278" s="41" t="s">
        <v>493</v>
      </c>
      <c r="D278" s="41" t="s">
        <v>743</v>
      </c>
      <c r="E278" s="41" t="s">
        <v>754</v>
      </c>
      <c r="F278" s="42">
        <v>1</v>
      </c>
      <c r="G278" s="1">
        <v>0</v>
      </c>
      <c r="H278" s="42">
        <f>F278*AN278</f>
        <v>0</v>
      </c>
      <c r="I278" s="42">
        <f>F278*AO278</f>
        <v>0</v>
      </c>
      <c r="J278" s="42">
        <f>F278*G278</f>
        <v>0</v>
      </c>
      <c r="K278" s="42">
        <v>0</v>
      </c>
      <c r="L278" s="42">
        <f>F278*K278</f>
        <v>0</v>
      </c>
      <c r="Y278" s="27">
        <f>IF(AP278="5",BI278,0)</f>
        <v>0</v>
      </c>
      <c r="AA278" s="27">
        <f>IF(AP278="1",BG278,0)</f>
        <v>0</v>
      </c>
      <c r="AB278" s="27">
        <f>IF(AP278="1",BH278,0)</f>
        <v>0</v>
      </c>
      <c r="AC278" s="27">
        <f>IF(AP278="7",BG278,0)</f>
        <v>0</v>
      </c>
      <c r="AD278" s="27">
        <f>IF(AP278="7",BH278,0)</f>
        <v>0</v>
      </c>
      <c r="AE278" s="27">
        <f>IF(AP278="2",BG278,0)</f>
        <v>0</v>
      </c>
      <c r="AF278" s="27">
        <f>IF(AP278="2",BH278,0)</f>
        <v>0</v>
      </c>
      <c r="AG278" s="27">
        <f>IF(AP278="0",BI278,0)</f>
        <v>0</v>
      </c>
      <c r="AH278" s="17"/>
      <c r="AI278" s="26">
        <f>IF(AM278=0,J278,0)</f>
        <v>0</v>
      </c>
      <c r="AJ278" s="26">
        <f>IF(AM278=15,J278,0)</f>
        <v>0</v>
      </c>
      <c r="AK278" s="26">
        <f>IF(AM278=21,J278,0)</f>
        <v>0</v>
      </c>
      <c r="AM278" s="27">
        <v>21</v>
      </c>
      <c r="AN278" s="27">
        <f>G278*0</f>
        <v>0</v>
      </c>
      <c r="AO278" s="27">
        <f>G278*(1-0)</f>
        <v>0</v>
      </c>
      <c r="AP278" s="28" t="s">
        <v>11</v>
      </c>
      <c r="AU278" s="27">
        <f>AV278+AW278</f>
        <v>0</v>
      </c>
      <c r="AV278" s="27">
        <f>F278*AN278</f>
        <v>0</v>
      </c>
      <c r="AW278" s="27">
        <f>F278*AO278</f>
        <v>0</v>
      </c>
      <c r="AX278" s="29" t="s">
        <v>791</v>
      </c>
      <c r="AY278" s="29" t="s">
        <v>795</v>
      </c>
      <c r="AZ278" s="17" t="s">
        <v>796</v>
      </c>
      <c r="BB278" s="27">
        <f>AV278+AW278</f>
        <v>0</v>
      </c>
      <c r="BC278" s="27">
        <f>G278/(100-BD278)*100</f>
        <v>0</v>
      </c>
      <c r="BD278" s="27">
        <v>0</v>
      </c>
      <c r="BE278" s="27">
        <f>L278</f>
        <v>0</v>
      </c>
      <c r="BG278" s="26">
        <f>F278*AN278</f>
        <v>0</v>
      </c>
      <c r="BH278" s="26">
        <f>F278*AO278</f>
        <v>0</v>
      </c>
      <c r="BI278" s="26">
        <f>F278*G278</f>
        <v>0</v>
      </c>
    </row>
    <row r="279" spans="1:12" ht="12.75">
      <c r="A279" s="43"/>
      <c r="B279" s="44"/>
      <c r="C279" s="44"/>
      <c r="D279" s="44"/>
      <c r="E279" s="44"/>
      <c r="F279" s="44"/>
      <c r="G279" s="44"/>
      <c r="H279" s="115" t="s">
        <v>767</v>
      </c>
      <c r="I279" s="116"/>
      <c r="J279" s="45">
        <f>J12+J14+J29+J138+J174+J241+J264+J269+J274</f>
        <v>0</v>
      </c>
      <c r="K279" s="44"/>
      <c r="L279" s="44"/>
    </row>
    <row r="280" ht="10.5" customHeight="1">
      <c r="A280" s="46" t="s">
        <v>249</v>
      </c>
    </row>
    <row r="281" spans="1:12" ht="12.75" customHeight="1">
      <c r="A281" s="10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</row>
  </sheetData>
  <sheetProtection password="83A5" sheet="1" objects="1" scenarios="1"/>
  <mergeCells count="29">
    <mergeCell ref="H10:J10"/>
    <mergeCell ref="K10:L10"/>
    <mergeCell ref="H279:I279"/>
    <mergeCell ref="A281:L281"/>
    <mergeCell ref="A8:B9"/>
    <mergeCell ref="C8:D9"/>
    <mergeCell ref="E8:F9"/>
    <mergeCell ref="G8:G9"/>
    <mergeCell ref="H8:H9"/>
    <mergeCell ref="I8:L9"/>
    <mergeCell ref="A6:B7"/>
    <mergeCell ref="C6:D7"/>
    <mergeCell ref="E6:F7"/>
    <mergeCell ref="G6:G7"/>
    <mergeCell ref="H6:H7"/>
    <mergeCell ref="I6:L7"/>
    <mergeCell ref="A4:B5"/>
    <mergeCell ref="C4:D5"/>
    <mergeCell ref="E4:F5"/>
    <mergeCell ref="G4:G5"/>
    <mergeCell ref="H4:H5"/>
    <mergeCell ref="I4:L5"/>
    <mergeCell ref="A1:L1"/>
    <mergeCell ref="A2:B3"/>
    <mergeCell ref="C2:D3"/>
    <mergeCell ref="E2:F3"/>
    <mergeCell ref="G2:G3"/>
    <mergeCell ref="H2:H3"/>
    <mergeCell ref="I2:L3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81"/>
  <sheetViews>
    <sheetView zoomScalePageLayoutView="0" workbookViewId="0" topLeftCell="A268">
      <selection activeCell="F15" sqref="F15"/>
    </sheetView>
  </sheetViews>
  <sheetFormatPr defaultColWidth="11.57421875" defaultRowHeight="12.75"/>
  <cols>
    <col min="1" max="1" width="8.28125" style="38" customWidth="1"/>
    <col min="2" max="2" width="7.57421875" style="3" hidden="1" customWidth="1"/>
    <col min="3" max="3" width="14.28125" style="3" customWidth="1"/>
    <col min="4" max="4" width="81.8515625" style="3" customWidth="1"/>
    <col min="5" max="5" width="4.421875" style="3" customWidth="1"/>
    <col min="6" max="6" width="12.7109375" style="3" customWidth="1"/>
    <col min="7" max="7" width="12.00390625" style="3" customWidth="1"/>
    <col min="8" max="10" width="14.28125" style="3" customWidth="1"/>
    <col min="11" max="12" width="11.7109375" style="3" customWidth="1"/>
    <col min="13" max="23" width="11.57421875" style="3" customWidth="1"/>
    <col min="24" max="61" width="9.7109375" style="3" hidden="1" customWidth="1"/>
    <col min="62" max="16384" width="11.57421875" style="3" customWidth="1"/>
  </cols>
  <sheetData>
    <row r="1" spans="1:12" ht="49.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3" ht="12.75" customHeight="1">
      <c r="A2" s="96" t="s">
        <v>1</v>
      </c>
      <c r="B2" s="97"/>
      <c r="C2" s="121" t="s">
        <v>869</v>
      </c>
      <c r="D2" s="122"/>
      <c r="E2" s="103" t="s">
        <v>745</v>
      </c>
      <c r="F2" s="97"/>
      <c r="G2" s="103" t="s">
        <v>6</v>
      </c>
      <c r="H2" s="104" t="s">
        <v>761</v>
      </c>
      <c r="I2" s="124" t="s">
        <v>870</v>
      </c>
      <c r="J2" s="125"/>
      <c r="K2" s="125"/>
      <c r="L2" s="125"/>
      <c r="M2" s="4"/>
    </row>
    <row r="3" spans="1:13" ht="12">
      <c r="A3" s="98"/>
      <c r="B3" s="99"/>
      <c r="C3" s="123"/>
      <c r="D3" s="123"/>
      <c r="E3" s="99"/>
      <c r="F3" s="99"/>
      <c r="G3" s="99"/>
      <c r="H3" s="99"/>
      <c r="I3" s="126"/>
      <c r="J3" s="126"/>
      <c r="K3" s="126"/>
      <c r="L3" s="126"/>
      <c r="M3" s="4"/>
    </row>
    <row r="4" spans="1:13" ht="12">
      <c r="A4" s="108" t="s">
        <v>2</v>
      </c>
      <c r="B4" s="99"/>
      <c r="C4" s="109" t="s">
        <v>6</v>
      </c>
      <c r="D4" s="99"/>
      <c r="E4" s="110" t="s">
        <v>746</v>
      </c>
      <c r="F4" s="99"/>
      <c r="G4" s="110" t="s">
        <v>6</v>
      </c>
      <c r="H4" s="109" t="s">
        <v>762</v>
      </c>
      <c r="I4" s="110" t="s">
        <v>768</v>
      </c>
      <c r="J4" s="99"/>
      <c r="K4" s="99"/>
      <c r="L4" s="99"/>
      <c r="M4" s="4"/>
    </row>
    <row r="5" spans="1:13" ht="12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4"/>
    </row>
    <row r="6" spans="1:13" ht="12.75" customHeight="1">
      <c r="A6" s="108" t="s">
        <v>3</v>
      </c>
      <c r="B6" s="99"/>
      <c r="C6" s="127" t="s">
        <v>871</v>
      </c>
      <c r="D6" s="126"/>
      <c r="E6" s="110" t="s">
        <v>747</v>
      </c>
      <c r="F6" s="99"/>
      <c r="G6" s="110" t="s">
        <v>6</v>
      </c>
      <c r="H6" s="109" t="s">
        <v>763</v>
      </c>
      <c r="I6" s="109" t="s">
        <v>769</v>
      </c>
      <c r="J6" s="99"/>
      <c r="K6" s="99"/>
      <c r="L6" s="99"/>
      <c r="M6" s="4"/>
    </row>
    <row r="7" spans="1:13" ht="12">
      <c r="A7" s="98"/>
      <c r="B7" s="99"/>
      <c r="C7" s="126"/>
      <c r="D7" s="126"/>
      <c r="E7" s="99"/>
      <c r="F7" s="99"/>
      <c r="G7" s="99"/>
      <c r="H7" s="99"/>
      <c r="I7" s="99"/>
      <c r="J7" s="99"/>
      <c r="K7" s="99"/>
      <c r="L7" s="99"/>
      <c r="M7" s="4"/>
    </row>
    <row r="8" spans="1:13" ht="12">
      <c r="A8" s="108" t="s">
        <v>4</v>
      </c>
      <c r="B8" s="99"/>
      <c r="C8" s="109" t="s">
        <v>6</v>
      </c>
      <c r="D8" s="99"/>
      <c r="E8" s="110" t="s">
        <v>748</v>
      </c>
      <c r="F8" s="99"/>
      <c r="G8" s="128" t="s">
        <v>872</v>
      </c>
      <c r="H8" s="109" t="s">
        <v>764</v>
      </c>
      <c r="I8" s="110" t="s">
        <v>768</v>
      </c>
      <c r="J8" s="99"/>
      <c r="K8" s="99"/>
      <c r="L8" s="99"/>
      <c r="M8" s="4"/>
    </row>
    <row r="9" spans="1:13" ht="12">
      <c r="A9" s="117"/>
      <c r="B9" s="118"/>
      <c r="C9" s="118"/>
      <c r="D9" s="118"/>
      <c r="E9" s="118"/>
      <c r="F9" s="118"/>
      <c r="G9" s="129"/>
      <c r="H9" s="118"/>
      <c r="I9" s="118"/>
      <c r="J9" s="118"/>
      <c r="K9" s="118"/>
      <c r="L9" s="118"/>
      <c r="M9" s="4"/>
    </row>
    <row r="10" spans="1:13" ht="12.75">
      <c r="A10" s="5" t="s">
        <v>5</v>
      </c>
      <c r="B10" s="6" t="s">
        <v>250</v>
      </c>
      <c r="C10" s="6" t="s">
        <v>251</v>
      </c>
      <c r="D10" s="6" t="s">
        <v>495</v>
      </c>
      <c r="E10" s="6" t="s">
        <v>749</v>
      </c>
      <c r="F10" s="7" t="s">
        <v>758</v>
      </c>
      <c r="G10" s="8" t="s">
        <v>759</v>
      </c>
      <c r="H10" s="112" t="s">
        <v>765</v>
      </c>
      <c r="I10" s="113"/>
      <c r="J10" s="114"/>
      <c r="K10" s="112" t="s">
        <v>772</v>
      </c>
      <c r="L10" s="114"/>
      <c r="M10" s="9"/>
    </row>
    <row r="11" spans="1:61" ht="12.75">
      <c r="A11" s="10" t="s">
        <v>6</v>
      </c>
      <c r="B11" s="11" t="s">
        <v>6</v>
      </c>
      <c r="C11" s="11" t="s">
        <v>6</v>
      </c>
      <c r="D11" s="12" t="s">
        <v>496</v>
      </c>
      <c r="E11" s="11" t="s">
        <v>6</v>
      </c>
      <c r="F11" s="11" t="s">
        <v>6</v>
      </c>
      <c r="G11" s="13" t="s">
        <v>760</v>
      </c>
      <c r="H11" s="14" t="s">
        <v>766</v>
      </c>
      <c r="I11" s="15" t="s">
        <v>770</v>
      </c>
      <c r="J11" s="16" t="s">
        <v>771</v>
      </c>
      <c r="K11" s="14" t="s">
        <v>773</v>
      </c>
      <c r="L11" s="16" t="s">
        <v>771</v>
      </c>
      <c r="M11" s="9"/>
      <c r="Y11" s="17" t="s">
        <v>774</v>
      </c>
      <c r="Z11" s="17" t="s">
        <v>775</v>
      </c>
      <c r="AA11" s="17" t="s">
        <v>776</v>
      </c>
      <c r="AB11" s="17" t="s">
        <v>777</v>
      </c>
      <c r="AC11" s="17" t="s">
        <v>778</v>
      </c>
      <c r="AD11" s="17" t="s">
        <v>779</v>
      </c>
      <c r="AE11" s="17" t="s">
        <v>780</v>
      </c>
      <c r="AF11" s="17" t="s">
        <v>781</v>
      </c>
      <c r="AG11" s="17" t="s">
        <v>782</v>
      </c>
      <c r="BG11" s="17" t="s">
        <v>797</v>
      </c>
      <c r="BH11" s="17" t="s">
        <v>798</v>
      </c>
      <c r="BI11" s="17" t="s">
        <v>799</v>
      </c>
    </row>
    <row r="12" spans="1:46" ht="12.75">
      <c r="A12" s="18"/>
      <c r="B12" s="19"/>
      <c r="C12" s="19" t="s">
        <v>67</v>
      </c>
      <c r="D12" s="19" t="s">
        <v>497</v>
      </c>
      <c r="E12" s="20" t="s">
        <v>6</v>
      </c>
      <c r="F12" s="20" t="s">
        <v>6</v>
      </c>
      <c r="G12" s="20" t="s">
        <v>6</v>
      </c>
      <c r="H12" s="21">
        <f>SUM(H13:H13)</f>
        <v>0</v>
      </c>
      <c r="I12" s="21">
        <f>SUM(I13:I13)</f>
        <v>0</v>
      </c>
      <c r="J12" s="21">
        <f>SUM(J13:J13)</f>
        <v>0</v>
      </c>
      <c r="K12" s="22"/>
      <c r="L12" s="21">
        <f>SUM(L13:L13)</f>
        <v>0.01</v>
      </c>
      <c r="AH12" s="17"/>
      <c r="AR12" s="23">
        <f>SUM(AI13:AI13)</f>
        <v>0</v>
      </c>
      <c r="AS12" s="23">
        <f>SUM(AJ13:AJ13)</f>
        <v>0</v>
      </c>
      <c r="AT12" s="23">
        <f>SUM(AK13:AK13)</f>
        <v>0</v>
      </c>
    </row>
    <row r="13" spans="1:61" ht="12.75">
      <c r="A13" s="24" t="s">
        <v>7</v>
      </c>
      <c r="B13" s="25"/>
      <c r="C13" s="25" t="s">
        <v>252</v>
      </c>
      <c r="D13" s="25" t="s">
        <v>498</v>
      </c>
      <c r="E13" s="25" t="s">
        <v>750</v>
      </c>
      <c r="F13" s="47">
        <v>250</v>
      </c>
      <c r="G13" s="26">
        <f>'Smluvní ceník'!G13</f>
        <v>0</v>
      </c>
      <c r="H13" s="26">
        <f>F13*AN13</f>
        <v>0</v>
      </c>
      <c r="I13" s="26">
        <f>F13*AO13</f>
        <v>0</v>
      </c>
      <c r="J13" s="26">
        <f>F13*G13</f>
        <v>0</v>
      </c>
      <c r="K13" s="26">
        <v>4E-05</v>
      </c>
      <c r="L13" s="26">
        <f>F13*K13</f>
        <v>0.01</v>
      </c>
      <c r="Y13" s="27">
        <f>IF(AP13="5",BI13,0)</f>
        <v>0</v>
      </c>
      <c r="AA13" s="27">
        <f>IF(AP13="1",BG13,0)</f>
        <v>0</v>
      </c>
      <c r="AB13" s="27">
        <f>IF(AP13="1",BH13,0)</f>
        <v>0</v>
      </c>
      <c r="AC13" s="27">
        <f>IF(AP13="7",BG13,0)</f>
        <v>0</v>
      </c>
      <c r="AD13" s="27">
        <f>IF(AP13="7",BH13,0)</f>
        <v>0</v>
      </c>
      <c r="AE13" s="27">
        <f>IF(AP13="2",BG13,0)</f>
        <v>0</v>
      </c>
      <c r="AF13" s="27">
        <f>IF(AP13="2",BH13,0)</f>
        <v>0</v>
      </c>
      <c r="AG13" s="27">
        <f>IF(AP13="0",BI13,0)</f>
        <v>0</v>
      </c>
      <c r="AH13" s="17"/>
      <c r="AI13" s="26">
        <f>IF(AM13=0,J13,0)</f>
        <v>0</v>
      </c>
      <c r="AJ13" s="26">
        <f>IF(AM13=15,J13,0)</f>
        <v>0</v>
      </c>
      <c r="AK13" s="26">
        <f>IF(AM13=21,J13,0)</f>
        <v>0</v>
      </c>
      <c r="AM13" s="27">
        <v>21</v>
      </c>
      <c r="AN13" s="27">
        <f>G13*0.293421052631579</f>
        <v>0</v>
      </c>
      <c r="AO13" s="27">
        <f>G13*(1-0.293421052631579)</f>
        <v>0</v>
      </c>
      <c r="AP13" s="28" t="s">
        <v>7</v>
      </c>
      <c r="AU13" s="27">
        <f>AV13+AW13</f>
        <v>0</v>
      </c>
      <c r="AV13" s="27">
        <f>F13*AN13</f>
        <v>0</v>
      </c>
      <c r="AW13" s="27">
        <f>F13*AO13</f>
        <v>0</v>
      </c>
      <c r="AX13" s="29" t="s">
        <v>783</v>
      </c>
      <c r="AY13" s="29" t="s">
        <v>792</v>
      </c>
      <c r="AZ13" s="17" t="s">
        <v>796</v>
      </c>
      <c r="BB13" s="27">
        <f>AV13+AW13</f>
        <v>0</v>
      </c>
      <c r="BC13" s="27">
        <f>G13/(100-BD13)*100</f>
        <v>0</v>
      </c>
      <c r="BD13" s="27">
        <v>0</v>
      </c>
      <c r="BE13" s="27">
        <f>L13</f>
        <v>0.01</v>
      </c>
      <c r="BG13" s="26">
        <f>F13*AN13</f>
        <v>0</v>
      </c>
      <c r="BH13" s="26">
        <f>F13*AO13</f>
        <v>0</v>
      </c>
      <c r="BI13" s="26">
        <f>F13*G13</f>
        <v>0</v>
      </c>
    </row>
    <row r="14" spans="1:46" ht="12.75">
      <c r="A14" s="30"/>
      <c r="B14" s="31"/>
      <c r="C14" s="31" t="s">
        <v>253</v>
      </c>
      <c r="D14" s="31" t="s">
        <v>499</v>
      </c>
      <c r="E14" s="32" t="s">
        <v>6</v>
      </c>
      <c r="F14" s="33" t="s">
        <v>6</v>
      </c>
      <c r="G14" s="32" t="str">
        <f>'Smluvní ceník'!G14</f>
        <v> </v>
      </c>
      <c r="H14" s="23">
        <f>SUM(H15:H28)</f>
        <v>0</v>
      </c>
      <c r="I14" s="23">
        <f>SUM(I15:I28)</f>
        <v>0</v>
      </c>
      <c r="J14" s="23">
        <f>SUM(J15:J28)</f>
        <v>0</v>
      </c>
      <c r="K14" s="17"/>
      <c r="L14" s="23">
        <f>SUM(L15:L28)</f>
        <v>1.2385</v>
      </c>
      <c r="AH14" s="17"/>
      <c r="AR14" s="23">
        <f>SUM(AI15:AI28)</f>
        <v>0</v>
      </c>
      <c r="AS14" s="23">
        <f>SUM(AJ15:AJ28)</f>
        <v>0</v>
      </c>
      <c r="AT14" s="23">
        <f>SUM(AK15:AK28)</f>
        <v>0</v>
      </c>
    </row>
    <row r="15" spans="1:61" ht="12.75">
      <c r="A15" s="24" t="s">
        <v>8</v>
      </c>
      <c r="B15" s="25"/>
      <c r="C15" s="25" t="s">
        <v>254</v>
      </c>
      <c r="D15" s="25" t="s">
        <v>500</v>
      </c>
      <c r="E15" s="25" t="s">
        <v>750</v>
      </c>
      <c r="F15" s="47">
        <v>5</v>
      </c>
      <c r="G15" s="26">
        <f>'Smluvní ceník'!G15</f>
        <v>0</v>
      </c>
      <c r="H15" s="26">
        <f aca="true" t="shared" si="0" ref="H15:H28">F15*AN15</f>
        <v>0</v>
      </c>
      <c r="I15" s="26">
        <f aca="true" t="shared" si="1" ref="I15:I28">F15*AO15</f>
        <v>0</v>
      </c>
      <c r="J15" s="26">
        <f aca="true" t="shared" si="2" ref="J15:J28">F15*G15</f>
        <v>0</v>
      </c>
      <c r="K15" s="26">
        <v>0</v>
      </c>
      <c r="L15" s="26">
        <f aca="true" t="shared" si="3" ref="L15:L28">F15*K15</f>
        <v>0</v>
      </c>
      <c r="Y15" s="27">
        <f aca="true" t="shared" si="4" ref="Y15:Y28">IF(AP15="5",BI15,0)</f>
        <v>0</v>
      </c>
      <c r="AA15" s="27">
        <f aca="true" t="shared" si="5" ref="AA15:AA28">IF(AP15="1",BG15,0)</f>
        <v>0</v>
      </c>
      <c r="AB15" s="27">
        <f aca="true" t="shared" si="6" ref="AB15:AB28">IF(AP15="1",BH15,0)</f>
        <v>0</v>
      </c>
      <c r="AC15" s="27">
        <f aca="true" t="shared" si="7" ref="AC15:AC28">IF(AP15="7",BG15,0)</f>
        <v>0</v>
      </c>
      <c r="AD15" s="27">
        <f aca="true" t="shared" si="8" ref="AD15:AD28">IF(AP15="7",BH15,0)</f>
        <v>0</v>
      </c>
      <c r="AE15" s="27">
        <f aca="true" t="shared" si="9" ref="AE15:AE28">IF(AP15="2",BG15,0)</f>
        <v>0</v>
      </c>
      <c r="AF15" s="27">
        <f aca="true" t="shared" si="10" ref="AF15:AF28">IF(AP15="2",BH15,0)</f>
        <v>0</v>
      </c>
      <c r="AG15" s="27">
        <f aca="true" t="shared" si="11" ref="AG15:AG28">IF(AP15="0",BI15,0)</f>
        <v>0</v>
      </c>
      <c r="AH15" s="17"/>
      <c r="AI15" s="26">
        <f aca="true" t="shared" si="12" ref="AI15:AI28">IF(AM15=0,J15,0)</f>
        <v>0</v>
      </c>
      <c r="AJ15" s="26">
        <f aca="true" t="shared" si="13" ref="AJ15:AJ28">IF(AM15=15,J15,0)</f>
        <v>0</v>
      </c>
      <c r="AK15" s="26">
        <f aca="true" t="shared" si="14" ref="AK15:AK28">IF(AM15=21,J15,0)</f>
        <v>0</v>
      </c>
      <c r="AM15" s="27">
        <v>21</v>
      </c>
      <c r="AN15" s="27">
        <f>G15*0</f>
        <v>0</v>
      </c>
      <c r="AO15" s="27">
        <f>G15*(1-0)</f>
        <v>0</v>
      </c>
      <c r="AP15" s="28" t="s">
        <v>13</v>
      </c>
      <c r="AU15" s="27">
        <f aca="true" t="shared" si="15" ref="AU15:AU28">AV15+AW15</f>
        <v>0</v>
      </c>
      <c r="AV15" s="27">
        <f aca="true" t="shared" si="16" ref="AV15:AV28">F15*AN15</f>
        <v>0</v>
      </c>
      <c r="AW15" s="27">
        <f aca="true" t="shared" si="17" ref="AW15:AW28">F15*AO15</f>
        <v>0</v>
      </c>
      <c r="AX15" s="29" t="s">
        <v>784</v>
      </c>
      <c r="AY15" s="29" t="s">
        <v>793</v>
      </c>
      <c r="AZ15" s="17" t="s">
        <v>796</v>
      </c>
      <c r="BB15" s="27">
        <f aca="true" t="shared" si="18" ref="BB15:BB28">AV15+AW15</f>
        <v>0</v>
      </c>
      <c r="BC15" s="27">
        <f aca="true" t="shared" si="19" ref="BC15:BC28">G15/(100-BD15)*100</f>
        <v>0</v>
      </c>
      <c r="BD15" s="27">
        <v>0</v>
      </c>
      <c r="BE15" s="27">
        <f aca="true" t="shared" si="20" ref="BE15:BE28">L15</f>
        <v>0</v>
      </c>
      <c r="BG15" s="26">
        <f aca="true" t="shared" si="21" ref="BG15:BG28">F15*AN15</f>
        <v>0</v>
      </c>
      <c r="BH15" s="26">
        <f aca="true" t="shared" si="22" ref="BH15:BH28">F15*AO15</f>
        <v>0</v>
      </c>
      <c r="BI15" s="26">
        <f aca="true" t="shared" si="23" ref="BI15:BI28">F15*G15</f>
        <v>0</v>
      </c>
    </row>
    <row r="16" spans="1:61" ht="12.75" hidden="1">
      <c r="A16" s="24" t="s">
        <v>9</v>
      </c>
      <c r="B16" s="25"/>
      <c r="C16" s="25" t="s">
        <v>255</v>
      </c>
      <c r="D16" s="25" t="s">
        <v>501</v>
      </c>
      <c r="E16" s="25" t="s">
        <v>750</v>
      </c>
      <c r="F16" s="47">
        <v>0</v>
      </c>
      <c r="G16" s="26">
        <f>'Smluvní ceník'!G16</f>
        <v>0</v>
      </c>
      <c r="H16" s="26">
        <f t="shared" si="0"/>
        <v>0</v>
      </c>
      <c r="I16" s="26">
        <f t="shared" si="1"/>
        <v>0</v>
      </c>
      <c r="J16" s="26">
        <f t="shared" si="2"/>
        <v>0</v>
      </c>
      <c r="K16" s="26">
        <v>0</v>
      </c>
      <c r="L16" s="26">
        <f t="shared" si="3"/>
        <v>0</v>
      </c>
      <c r="Y16" s="27">
        <f t="shared" si="4"/>
        <v>0</v>
      </c>
      <c r="AA16" s="27">
        <f t="shared" si="5"/>
        <v>0</v>
      </c>
      <c r="AB16" s="27">
        <f t="shared" si="6"/>
        <v>0</v>
      </c>
      <c r="AC16" s="27">
        <f t="shared" si="7"/>
        <v>0</v>
      </c>
      <c r="AD16" s="27">
        <f t="shared" si="8"/>
        <v>0</v>
      </c>
      <c r="AE16" s="27">
        <f t="shared" si="9"/>
        <v>0</v>
      </c>
      <c r="AF16" s="27">
        <f t="shared" si="10"/>
        <v>0</v>
      </c>
      <c r="AG16" s="27">
        <f t="shared" si="11"/>
        <v>0</v>
      </c>
      <c r="AH16" s="17"/>
      <c r="AI16" s="26">
        <f t="shared" si="12"/>
        <v>0</v>
      </c>
      <c r="AJ16" s="26">
        <f t="shared" si="13"/>
        <v>0</v>
      </c>
      <c r="AK16" s="26">
        <f t="shared" si="14"/>
        <v>0</v>
      </c>
      <c r="AM16" s="27">
        <v>21</v>
      </c>
      <c r="AN16" s="27">
        <f>G16*0</f>
        <v>0</v>
      </c>
      <c r="AO16" s="27">
        <f>G16*(1-0)</f>
        <v>0</v>
      </c>
      <c r="AP16" s="28" t="s">
        <v>13</v>
      </c>
      <c r="AU16" s="27">
        <f t="shared" si="15"/>
        <v>0</v>
      </c>
      <c r="AV16" s="27">
        <f t="shared" si="16"/>
        <v>0</v>
      </c>
      <c r="AW16" s="27">
        <f t="shared" si="17"/>
        <v>0</v>
      </c>
      <c r="AX16" s="29" t="s">
        <v>784</v>
      </c>
      <c r="AY16" s="29" t="s">
        <v>793</v>
      </c>
      <c r="AZ16" s="17" t="s">
        <v>796</v>
      </c>
      <c r="BB16" s="27">
        <f t="shared" si="18"/>
        <v>0</v>
      </c>
      <c r="BC16" s="27">
        <f t="shared" si="19"/>
        <v>0</v>
      </c>
      <c r="BD16" s="27">
        <v>0</v>
      </c>
      <c r="BE16" s="27">
        <f t="shared" si="20"/>
        <v>0</v>
      </c>
      <c r="BG16" s="26">
        <f t="shared" si="21"/>
        <v>0</v>
      </c>
      <c r="BH16" s="26">
        <f t="shared" si="22"/>
        <v>0</v>
      </c>
      <c r="BI16" s="26">
        <f t="shared" si="23"/>
        <v>0</v>
      </c>
    </row>
    <row r="17" spans="1:61" ht="12.75">
      <c r="A17" s="24" t="s">
        <v>10</v>
      </c>
      <c r="B17" s="25"/>
      <c r="C17" s="25" t="s">
        <v>256</v>
      </c>
      <c r="D17" s="25" t="s">
        <v>502</v>
      </c>
      <c r="E17" s="25" t="s">
        <v>750</v>
      </c>
      <c r="F17" s="47">
        <v>5</v>
      </c>
      <c r="G17" s="26">
        <f>'Smluvní ceník'!G17</f>
        <v>0</v>
      </c>
      <c r="H17" s="26">
        <f t="shared" si="0"/>
        <v>0</v>
      </c>
      <c r="I17" s="26">
        <f t="shared" si="1"/>
        <v>0</v>
      </c>
      <c r="J17" s="26">
        <f t="shared" si="2"/>
        <v>0</v>
      </c>
      <c r="K17" s="26">
        <v>0.0324</v>
      </c>
      <c r="L17" s="26">
        <f t="shared" si="3"/>
        <v>0.16199999999999998</v>
      </c>
      <c r="Y17" s="27">
        <f t="shared" si="4"/>
        <v>0</v>
      </c>
      <c r="AA17" s="27">
        <f t="shared" si="5"/>
        <v>0</v>
      </c>
      <c r="AB17" s="27">
        <f t="shared" si="6"/>
        <v>0</v>
      </c>
      <c r="AC17" s="27">
        <f t="shared" si="7"/>
        <v>0</v>
      </c>
      <c r="AD17" s="27">
        <f t="shared" si="8"/>
        <v>0</v>
      </c>
      <c r="AE17" s="27">
        <f t="shared" si="9"/>
        <v>0</v>
      </c>
      <c r="AF17" s="27">
        <f t="shared" si="10"/>
        <v>0</v>
      </c>
      <c r="AG17" s="27">
        <f t="shared" si="11"/>
        <v>0</v>
      </c>
      <c r="AH17" s="17"/>
      <c r="AI17" s="26">
        <f t="shared" si="12"/>
        <v>0</v>
      </c>
      <c r="AJ17" s="26">
        <f t="shared" si="13"/>
        <v>0</v>
      </c>
      <c r="AK17" s="26">
        <f t="shared" si="14"/>
        <v>0</v>
      </c>
      <c r="AM17" s="27">
        <v>21</v>
      </c>
      <c r="AN17" s="27">
        <f>G17*0.771804452183166</f>
        <v>0</v>
      </c>
      <c r="AO17" s="27">
        <f>G17*(1-0.771804452183166)</f>
        <v>0</v>
      </c>
      <c r="AP17" s="28" t="s">
        <v>13</v>
      </c>
      <c r="AU17" s="27">
        <f t="shared" si="15"/>
        <v>0</v>
      </c>
      <c r="AV17" s="27">
        <f t="shared" si="16"/>
        <v>0</v>
      </c>
      <c r="AW17" s="27">
        <f t="shared" si="17"/>
        <v>0</v>
      </c>
      <c r="AX17" s="29" t="s">
        <v>784</v>
      </c>
      <c r="AY17" s="29" t="s">
        <v>793</v>
      </c>
      <c r="AZ17" s="17" t="s">
        <v>796</v>
      </c>
      <c r="BB17" s="27">
        <f t="shared" si="18"/>
        <v>0</v>
      </c>
      <c r="BC17" s="27">
        <f t="shared" si="19"/>
        <v>0</v>
      </c>
      <c r="BD17" s="27">
        <v>0</v>
      </c>
      <c r="BE17" s="27">
        <f t="shared" si="20"/>
        <v>0.16199999999999998</v>
      </c>
      <c r="BG17" s="26">
        <f t="shared" si="21"/>
        <v>0</v>
      </c>
      <c r="BH17" s="26">
        <f t="shared" si="22"/>
        <v>0</v>
      </c>
      <c r="BI17" s="26">
        <f t="shared" si="23"/>
        <v>0</v>
      </c>
    </row>
    <row r="18" spans="1:61" ht="12.75" hidden="1">
      <c r="A18" s="24" t="s">
        <v>11</v>
      </c>
      <c r="B18" s="25"/>
      <c r="C18" s="25" t="s">
        <v>257</v>
      </c>
      <c r="D18" s="25" t="s">
        <v>503</v>
      </c>
      <c r="E18" s="25" t="s">
        <v>750</v>
      </c>
      <c r="F18" s="47">
        <v>0</v>
      </c>
      <c r="G18" s="26">
        <f>'Smluvní ceník'!G18</f>
        <v>0</v>
      </c>
      <c r="H18" s="26">
        <f t="shared" si="0"/>
        <v>0</v>
      </c>
      <c r="I18" s="26">
        <f t="shared" si="1"/>
        <v>0</v>
      </c>
      <c r="J18" s="26">
        <f t="shared" si="2"/>
        <v>0</v>
      </c>
      <c r="K18" s="26">
        <v>0.0324</v>
      </c>
      <c r="L18" s="26">
        <f t="shared" si="3"/>
        <v>0</v>
      </c>
      <c r="Y18" s="27">
        <f t="shared" si="4"/>
        <v>0</v>
      </c>
      <c r="AA18" s="27">
        <f t="shared" si="5"/>
        <v>0</v>
      </c>
      <c r="AB18" s="27">
        <f t="shared" si="6"/>
        <v>0</v>
      </c>
      <c r="AC18" s="27">
        <f t="shared" si="7"/>
        <v>0</v>
      </c>
      <c r="AD18" s="27">
        <f t="shared" si="8"/>
        <v>0</v>
      </c>
      <c r="AE18" s="27">
        <f t="shared" si="9"/>
        <v>0</v>
      </c>
      <c r="AF18" s="27">
        <f t="shared" si="10"/>
        <v>0</v>
      </c>
      <c r="AG18" s="27">
        <f t="shared" si="11"/>
        <v>0</v>
      </c>
      <c r="AH18" s="17"/>
      <c r="AI18" s="26">
        <f t="shared" si="12"/>
        <v>0</v>
      </c>
      <c r="AJ18" s="26">
        <f t="shared" si="13"/>
        <v>0</v>
      </c>
      <c r="AK18" s="26">
        <f t="shared" si="14"/>
        <v>0</v>
      </c>
      <c r="AM18" s="27">
        <v>21</v>
      </c>
      <c r="AN18" s="27">
        <f>G18*0.81774358974359</f>
        <v>0</v>
      </c>
      <c r="AO18" s="27">
        <f>G18*(1-0.81774358974359)</f>
        <v>0</v>
      </c>
      <c r="AP18" s="28" t="s">
        <v>13</v>
      </c>
      <c r="AU18" s="27">
        <f t="shared" si="15"/>
        <v>0</v>
      </c>
      <c r="AV18" s="27">
        <f t="shared" si="16"/>
        <v>0</v>
      </c>
      <c r="AW18" s="27">
        <f t="shared" si="17"/>
        <v>0</v>
      </c>
      <c r="AX18" s="29" t="s">
        <v>784</v>
      </c>
      <c r="AY18" s="29" t="s">
        <v>793</v>
      </c>
      <c r="AZ18" s="17" t="s">
        <v>796</v>
      </c>
      <c r="BB18" s="27">
        <f t="shared" si="18"/>
        <v>0</v>
      </c>
      <c r="BC18" s="27">
        <f t="shared" si="19"/>
        <v>0</v>
      </c>
      <c r="BD18" s="27">
        <v>0</v>
      </c>
      <c r="BE18" s="27">
        <f t="shared" si="20"/>
        <v>0</v>
      </c>
      <c r="BG18" s="26">
        <f t="shared" si="21"/>
        <v>0</v>
      </c>
      <c r="BH18" s="26">
        <f t="shared" si="22"/>
        <v>0</v>
      </c>
      <c r="BI18" s="26">
        <f t="shared" si="23"/>
        <v>0</v>
      </c>
    </row>
    <row r="19" spans="1:61" ht="12.75">
      <c r="A19" s="24" t="s">
        <v>12</v>
      </c>
      <c r="B19" s="25"/>
      <c r="C19" s="25" t="s">
        <v>258</v>
      </c>
      <c r="D19" s="25" t="s">
        <v>504</v>
      </c>
      <c r="E19" s="25" t="s">
        <v>750</v>
      </c>
      <c r="F19" s="47">
        <v>10</v>
      </c>
      <c r="G19" s="26">
        <f>'Smluvní ceník'!G19</f>
        <v>0</v>
      </c>
      <c r="H19" s="26">
        <f t="shared" si="0"/>
        <v>0</v>
      </c>
      <c r="I19" s="26">
        <f t="shared" si="1"/>
        <v>0</v>
      </c>
      <c r="J19" s="26">
        <f t="shared" si="2"/>
        <v>0</v>
      </c>
      <c r="K19" s="26">
        <v>0.0324</v>
      </c>
      <c r="L19" s="26">
        <f t="shared" si="3"/>
        <v>0.32399999999999995</v>
      </c>
      <c r="Y19" s="27">
        <f t="shared" si="4"/>
        <v>0</v>
      </c>
      <c r="AA19" s="27">
        <f t="shared" si="5"/>
        <v>0</v>
      </c>
      <c r="AB19" s="27">
        <f t="shared" si="6"/>
        <v>0</v>
      </c>
      <c r="AC19" s="27">
        <f t="shared" si="7"/>
        <v>0</v>
      </c>
      <c r="AD19" s="27">
        <f t="shared" si="8"/>
        <v>0</v>
      </c>
      <c r="AE19" s="27">
        <f t="shared" si="9"/>
        <v>0</v>
      </c>
      <c r="AF19" s="27">
        <f t="shared" si="10"/>
        <v>0</v>
      </c>
      <c r="AG19" s="27">
        <f t="shared" si="11"/>
        <v>0</v>
      </c>
      <c r="AH19" s="17"/>
      <c r="AI19" s="26">
        <f t="shared" si="12"/>
        <v>0</v>
      </c>
      <c r="AJ19" s="26">
        <f t="shared" si="13"/>
        <v>0</v>
      </c>
      <c r="AK19" s="26">
        <f t="shared" si="14"/>
        <v>0</v>
      </c>
      <c r="AM19" s="27">
        <v>21</v>
      </c>
      <c r="AN19" s="27">
        <f>G19*0.869754768392371</f>
        <v>0</v>
      </c>
      <c r="AO19" s="27">
        <f>G19*(1-0.869754768392371)</f>
        <v>0</v>
      </c>
      <c r="AP19" s="28" t="s">
        <v>13</v>
      </c>
      <c r="AU19" s="27">
        <f t="shared" si="15"/>
        <v>0</v>
      </c>
      <c r="AV19" s="27">
        <f t="shared" si="16"/>
        <v>0</v>
      </c>
      <c r="AW19" s="27">
        <f t="shared" si="17"/>
        <v>0</v>
      </c>
      <c r="AX19" s="29" t="s">
        <v>784</v>
      </c>
      <c r="AY19" s="29" t="s">
        <v>793</v>
      </c>
      <c r="AZ19" s="17" t="s">
        <v>796</v>
      </c>
      <c r="BB19" s="27">
        <f t="shared" si="18"/>
        <v>0</v>
      </c>
      <c r="BC19" s="27">
        <f t="shared" si="19"/>
        <v>0</v>
      </c>
      <c r="BD19" s="27">
        <v>0</v>
      </c>
      <c r="BE19" s="27">
        <f t="shared" si="20"/>
        <v>0.32399999999999995</v>
      </c>
      <c r="BG19" s="26">
        <f t="shared" si="21"/>
        <v>0</v>
      </c>
      <c r="BH19" s="26">
        <f t="shared" si="22"/>
        <v>0</v>
      </c>
      <c r="BI19" s="26">
        <f t="shared" si="23"/>
        <v>0</v>
      </c>
    </row>
    <row r="20" spans="1:61" ht="12.75" hidden="1">
      <c r="A20" s="24" t="s">
        <v>13</v>
      </c>
      <c r="B20" s="25"/>
      <c r="C20" s="25" t="s">
        <v>259</v>
      </c>
      <c r="D20" s="25" t="s">
        <v>505</v>
      </c>
      <c r="E20" s="25" t="s">
        <v>750</v>
      </c>
      <c r="F20" s="47">
        <v>0</v>
      </c>
      <c r="G20" s="26">
        <f>'Smluvní ceník'!G20</f>
        <v>0</v>
      </c>
      <c r="H20" s="26">
        <f t="shared" si="0"/>
        <v>0</v>
      </c>
      <c r="I20" s="26">
        <f t="shared" si="1"/>
        <v>0</v>
      </c>
      <c r="J20" s="26">
        <f t="shared" si="2"/>
        <v>0</v>
      </c>
      <c r="K20" s="26">
        <v>0.05309</v>
      </c>
      <c r="L20" s="26">
        <f t="shared" si="3"/>
        <v>0</v>
      </c>
      <c r="Y20" s="27">
        <f t="shared" si="4"/>
        <v>0</v>
      </c>
      <c r="AA20" s="27">
        <f t="shared" si="5"/>
        <v>0</v>
      </c>
      <c r="AB20" s="27">
        <f t="shared" si="6"/>
        <v>0</v>
      </c>
      <c r="AC20" s="27">
        <f t="shared" si="7"/>
        <v>0</v>
      </c>
      <c r="AD20" s="27">
        <f t="shared" si="8"/>
        <v>0</v>
      </c>
      <c r="AE20" s="27">
        <f t="shared" si="9"/>
        <v>0</v>
      </c>
      <c r="AF20" s="27">
        <f t="shared" si="10"/>
        <v>0</v>
      </c>
      <c r="AG20" s="27">
        <f t="shared" si="11"/>
        <v>0</v>
      </c>
      <c r="AH20" s="17"/>
      <c r="AI20" s="26">
        <f t="shared" si="12"/>
        <v>0</v>
      </c>
      <c r="AJ20" s="26">
        <f t="shared" si="13"/>
        <v>0</v>
      </c>
      <c r="AK20" s="26">
        <f t="shared" si="14"/>
        <v>0</v>
      </c>
      <c r="AM20" s="27">
        <v>21</v>
      </c>
      <c r="AN20" s="27">
        <f>G20*0.814659498207885</f>
        <v>0</v>
      </c>
      <c r="AO20" s="27">
        <f>G20*(1-0.814659498207885)</f>
        <v>0</v>
      </c>
      <c r="AP20" s="28" t="s">
        <v>13</v>
      </c>
      <c r="AU20" s="27">
        <f t="shared" si="15"/>
        <v>0</v>
      </c>
      <c r="AV20" s="27">
        <f t="shared" si="16"/>
        <v>0</v>
      </c>
      <c r="AW20" s="27">
        <f t="shared" si="17"/>
        <v>0</v>
      </c>
      <c r="AX20" s="29" t="s">
        <v>784</v>
      </c>
      <c r="AY20" s="29" t="s">
        <v>793</v>
      </c>
      <c r="AZ20" s="17" t="s">
        <v>796</v>
      </c>
      <c r="BB20" s="27">
        <f t="shared" si="18"/>
        <v>0</v>
      </c>
      <c r="BC20" s="27">
        <f t="shared" si="19"/>
        <v>0</v>
      </c>
      <c r="BD20" s="27">
        <v>0</v>
      </c>
      <c r="BE20" s="27">
        <f t="shared" si="20"/>
        <v>0</v>
      </c>
      <c r="BG20" s="26">
        <f t="shared" si="21"/>
        <v>0</v>
      </c>
      <c r="BH20" s="26">
        <f t="shared" si="22"/>
        <v>0</v>
      </c>
      <c r="BI20" s="26">
        <f t="shared" si="23"/>
        <v>0</v>
      </c>
    </row>
    <row r="21" spans="1:61" ht="12.75">
      <c r="A21" s="24" t="s">
        <v>14</v>
      </c>
      <c r="B21" s="25"/>
      <c r="C21" s="25" t="s">
        <v>260</v>
      </c>
      <c r="D21" s="25" t="s">
        <v>506</v>
      </c>
      <c r="E21" s="25" t="s">
        <v>750</v>
      </c>
      <c r="F21" s="47">
        <v>10</v>
      </c>
      <c r="G21" s="26">
        <f>'Smluvní ceník'!G21</f>
        <v>0</v>
      </c>
      <c r="H21" s="26">
        <f t="shared" si="0"/>
        <v>0</v>
      </c>
      <c r="I21" s="26">
        <f t="shared" si="1"/>
        <v>0</v>
      </c>
      <c r="J21" s="26">
        <f t="shared" si="2"/>
        <v>0</v>
      </c>
      <c r="K21" s="26">
        <v>0.05309</v>
      </c>
      <c r="L21" s="26">
        <f t="shared" si="3"/>
        <v>0.5308999999999999</v>
      </c>
      <c r="Y21" s="27">
        <f t="shared" si="4"/>
        <v>0</v>
      </c>
      <c r="AA21" s="27">
        <f t="shared" si="5"/>
        <v>0</v>
      </c>
      <c r="AB21" s="27">
        <f t="shared" si="6"/>
        <v>0</v>
      </c>
      <c r="AC21" s="27">
        <f t="shared" si="7"/>
        <v>0</v>
      </c>
      <c r="AD21" s="27">
        <f t="shared" si="8"/>
        <v>0</v>
      </c>
      <c r="AE21" s="27">
        <f t="shared" si="9"/>
        <v>0</v>
      </c>
      <c r="AF21" s="27">
        <f t="shared" si="10"/>
        <v>0</v>
      </c>
      <c r="AG21" s="27">
        <f t="shared" si="11"/>
        <v>0</v>
      </c>
      <c r="AH21" s="17"/>
      <c r="AI21" s="26">
        <f t="shared" si="12"/>
        <v>0</v>
      </c>
      <c r="AJ21" s="26">
        <f t="shared" si="13"/>
        <v>0</v>
      </c>
      <c r="AK21" s="26">
        <f t="shared" si="14"/>
        <v>0</v>
      </c>
      <c r="AM21" s="27">
        <v>21</v>
      </c>
      <c r="AN21" s="27">
        <f>G21*0.848633308439134</f>
        <v>0</v>
      </c>
      <c r="AO21" s="27">
        <f>G21*(1-0.848633308439134)</f>
        <v>0</v>
      </c>
      <c r="AP21" s="28" t="s">
        <v>13</v>
      </c>
      <c r="AU21" s="27">
        <f t="shared" si="15"/>
        <v>0</v>
      </c>
      <c r="AV21" s="27">
        <f t="shared" si="16"/>
        <v>0</v>
      </c>
      <c r="AW21" s="27">
        <f t="shared" si="17"/>
        <v>0</v>
      </c>
      <c r="AX21" s="29" t="s">
        <v>784</v>
      </c>
      <c r="AY21" s="29" t="s">
        <v>793</v>
      </c>
      <c r="AZ21" s="17" t="s">
        <v>796</v>
      </c>
      <c r="BB21" s="27">
        <f t="shared" si="18"/>
        <v>0</v>
      </c>
      <c r="BC21" s="27">
        <f t="shared" si="19"/>
        <v>0</v>
      </c>
      <c r="BD21" s="27">
        <v>0</v>
      </c>
      <c r="BE21" s="27">
        <f t="shared" si="20"/>
        <v>0.5308999999999999</v>
      </c>
      <c r="BG21" s="26">
        <f t="shared" si="21"/>
        <v>0</v>
      </c>
      <c r="BH21" s="26">
        <f t="shared" si="22"/>
        <v>0</v>
      </c>
      <c r="BI21" s="26">
        <f t="shared" si="23"/>
        <v>0</v>
      </c>
    </row>
    <row r="22" spans="1:61" ht="12.75" hidden="1">
      <c r="A22" s="24" t="s">
        <v>15</v>
      </c>
      <c r="B22" s="25"/>
      <c r="C22" s="25" t="s">
        <v>261</v>
      </c>
      <c r="D22" s="25" t="s">
        <v>507</v>
      </c>
      <c r="E22" s="25" t="s">
        <v>750</v>
      </c>
      <c r="F22" s="47">
        <v>0</v>
      </c>
      <c r="G22" s="26">
        <f>'Smluvní ceník'!G22</f>
        <v>0</v>
      </c>
      <c r="H22" s="26">
        <f t="shared" si="0"/>
        <v>0</v>
      </c>
      <c r="I22" s="26">
        <f t="shared" si="1"/>
        <v>0</v>
      </c>
      <c r="J22" s="26">
        <f t="shared" si="2"/>
        <v>0</v>
      </c>
      <c r="K22" s="26">
        <v>0.05309</v>
      </c>
      <c r="L22" s="26">
        <f t="shared" si="3"/>
        <v>0</v>
      </c>
      <c r="Y22" s="27">
        <f t="shared" si="4"/>
        <v>0</v>
      </c>
      <c r="AA22" s="27">
        <f t="shared" si="5"/>
        <v>0</v>
      </c>
      <c r="AB22" s="27">
        <f t="shared" si="6"/>
        <v>0</v>
      </c>
      <c r="AC22" s="27">
        <f t="shared" si="7"/>
        <v>0</v>
      </c>
      <c r="AD22" s="27">
        <f t="shared" si="8"/>
        <v>0</v>
      </c>
      <c r="AE22" s="27">
        <f t="shared" si="9"/>
        <v>0</v>
      </c>
      <c r="AF22" s="27">
        <f t="shared" si="10"/>
        <v>0</v>
      </c>
      <c r="AG22" s="27">
        <f t="shared" si="11"/>
        <v>0</v>
      </c>
      <c r="AH22" s="17"/>
      <c r="AI22" s="26">
        <f t="shared" si="12"/>
        <v>0</v>
      </c>
      <c r="AJ22" s="26">
        <f t="shared" si="13"/>
        <v>0</v>
      </c>
      <c r="AK22" s="26">
        <f t="shared" si="14"/>
        <v>0</v>
      </c>
      <c r="AM22" s="27">
        <v>21</v>
      </c>
      <c r="AN22" s="27">
        <f>G22*0.885572876071707</f>
        <v>0</v>
      </c>
      <c r="AO22" s="27">
        <f>G22*(1-0.885572876071707)</f>
        <v>0</v>
      </c>
      <c r="AP22" s="28" t="s">
        <v>13</v>
      </c>
      <c r="AU22" s="27">
        <f t="shared" si="15"/>
        <v>0</v>
      </c>
      <c r="AV22" s="27">
        <f t="shared" si="16"/>
        <v>0</v>
      </c>
      <c r="AW22" s="27">
        <f t="shared" si="17"/>
        <v>0</v>
      </c>
      <c r="AX22" s="29" t="s">
        <v>784</v>
      </c>
      <c r="AY22" s="29" t="s">
        <v>793</v>
      </c>
      <c r="AZ22" s="17" t="s">
        <v>796</v>
      </c>
      <c r="BB22" s="27">
        <f t="shared" si="18"/>
        <v>0</v>
      </c>
      <c r="BC22" s="27">
        <f t="shared" si="19"/>
        <v>0</v>
      </c>
      <c r="BD22" s="27">
        <v>0</v>
      </c>
      <c r="BE22" s="27">
        <f t="shared" si="20"/>
        <v>0</v>
      </c>
      <c r="BG22" s="26">
        <f t="shared" si="21"/>
        <v>0</v>
      </c>
      <c r="BH22" s="26">
        <f t="shared" si="22"/>
        <v>0</v>
      </c>
      <c r="BI22" s="26">
        <f t="shared" si="23"/>
        <v>0</v>
      </c>
    </row>
    <row r="23" spans="1:61" ht="12.75" hidden="1">
      <c r="A23" s="24" t="s">
        <v>16</v>
      </c>
      <c r="B23" s="25"/>
      <c r="C23" s="25" t="s">
        <v>262</v>
      </c>
      <c r="D23" s="25" t="s">
        <v>508</v>
      </c>
      <c r="E23" s="25" t="s">
        <v>751</v>
      </c>
      <c r="F23" s="47">
        <v>0</v>
      </c>
      <c r="G23" s="26">
        <f>'Smluvní ceník'!G23</f>
        <v>0</v>
      </c>
      <c r="H23" s="26">
        <f t="shared" si="0"/>
        <v>0</v>
      </c>
      <c r="I23" s="26">
        <f t="shared" si="1"/>
        <v>0</v>
      </c>
      <c r="J23" s="26">
        <f t="shared" si="2"/>
        <v>0</v>
      </c>
      <c r="K23" s="26">
        <v>0.00285</v>
      </c>
      <c r="L23" s="26">
        <f t="shared" si="3"/>
        <v>0</v>
      </c>
      <c r="Y23" s="27">
        <f t="shared" si="4"/>
        <v>0</v>
      </c>
      <c r="AA23" s="27">
        <f t="shared" si="5"/>
        <v>0</v>
      </c>
      <c r="AB23" s="27">
        <f t="shared" si="6"/>
        <v>0</v>
      </c>
      <c r="AC23" s="27">
        <f t="shared" si="7"/>
        <v>0</v>
      </c>
      <c r="AD23" s="27">
        <f t="shared" si="8"/>
        <v>0</v>
      </c>
      <c r="AE23" s="27">
        <f t="shared" si="9"/>
        <v>0</v>
      </c>
      <c r="AF23" s="27">
        <f t="shared" si="10"/>
        <v>0</v>
      </c>
      <c r="AG23" s="27">
        <f t="shared" si="11"/>
        <v>0</v>
      </c>
      <c r="AH23" s="17"/>
      <c r="AI23" s="26">
        <f t="shared" si="12"/>
        <v>0</v>
      </c>
      <c r="AJ23" s="26">
        <f t="shared" si="13"/>
        <v>0</v>
      </c>
      <c r="AK23" s="26">
        <f t="shared" si="14"/>
        <v>0</v>
      </c>
      <c r="AM23" s="27">
        <v>21</v>
      </c>
      <c r="AN23" s="27">
        <f>G23*0.353938730853392</f>
        <v>0</v>
      </c>
      <c r="AO23" s="27">
        <f>G23*(1-0.353938730853392)</f>
        <v>0</v>
      </c>
      <c r="AP23" s="28" t="s">
        <v>13</v>
      </c>
      <c r="AU23" s="27">
        <f t="shared" si="15"/>
        <v>0</v>
      </c>
      <c r="AV23" s="27">
        <f t="shared" si="16"/>
        <v>0</v>
      </c>
      <c r="AW23" s="27">
        <f t="shared" si="17"/>
        <v>0</v>
      </c>
      <c r="AX23" s="29" t="s">
        <v>784</v>
      </c>
      <c r="AY23" s="29" t="s">
        <v>793</v>
      </c>
      <c r="AZ23" s="17" t="s">
        <v>796</v>
      </c>
      <c r="BB23" s="27">
        <f t="shared" si="18"/>
        <v>0</v>
      </c>
      <c r="BC23" s="27">
        <f t="shared" si="19"/>
        <v>0</v>
      </c>
      <c r="BD23" s="27">
        <v>0</v>
      </c>
      <c r="BE23" s="27">
        <f t="shared" si="20"/>
        <v>0</v>
      </c>
      <c r="BG23" s="26">
        <f t="shared" si="21"/>
        <v>0</v>
      </c>
      <c r="BH23" s="26">
        <f t="shared" si="22"/>
        <v>0</v>
      </c>
      <c r="BI23" s="26">
        <f t="shared" si="23"/>
        <v>0</v>
      </c>
    </row>
    <row r="24" spans="1:61" ht="12.75">
      <c r="A24" s="24" t="s">
        <v>17</v>
      </c>
      <c r="B24" s="25"/>
      <c r="C24" s="25" t="s">
        <v>263</v>
      </c>
      <c r="D24" s="25" t="s">
        <v>509</v>
      </c>
      <c r="E24" s="25" t="s">
        <v>750</v>
      </c>
      <c r="F24" s="47">
        <v>10</v>
      </c>
      <c r="G24" s="26">
        <f>'Smluvní ceník'!G24</f>
        <v>0</v>
      </c>
      <c r="H24" s="26">
        <f t="shared" si="0"/>
        <v>0</v>
      </c>
      <c r="I24" s="26">
        <f t="shared" si="1"/>
        <v>0</v>
      </c>
      <c r="J24" s="26">
        <f t="shared" si="2"/>
        <v>0</v>
      </c>
      <c r="K24" s="26">
        <v>0.02216</v>
      </c>
      <c r="L24" s="26">
        <f t="shared" si="3"/>
        <v>0.2216</v>
      </c>
      <c r="Y24" s="27">
        <f t="shared" si="4"/>
        <v>0</v>
      </c>
      <c r="AA24" s="27">
        <f t="shared" si="5"/>
        <v>0</v>
      </c>
      <c r="AB24" s="27">
        <f t="shared" si="6"/>
        <v>0</v>
      </c>
      <c r="AC24" s="27">
        <f t="shared" si="7"/>
        <v>0</v>
      </c>
      <c r="AD24" s="27">
        <f t="shared" si="8"/>
        <v>0</v>
      </c>
      <c r="AE24" s="27">
        <f t="shared" si="9"/>
        <v>0</v>
      </c>
      <c r="AF24" s="27">
        <f t="shared" si="10"/>
        <v>0</v>
      </c>
      <c r="AG24" s="27">
        <f t="shared" si="11"/>
        <v>0</v>
      </c>
      <c r="AH24" s="17"/>
      <c r="AI24" s="26">
        <f t="shared" si="12"/>
        <v>0</v>
      </c>
      <c r="AJ24" s="26">
        <f t="shared" si="13"/>
        <v>0</v>
      </c>
      <c r="AK24" s="26">
        <f t="shared" si="14"/>
        <v>0</v>
      </c>
      <c r="AM24" s="27">
        <v>21</v>
      </c>
      <c r="AN24" s="27">
        <f>G24*0.0820128479657388</f>
        <v>0</v>
      </c>
      <c r="AO24" s="27">
        <f>G24*(1-0.0820128479657388)</f>
        <v>0</v>
      </c>
      <c r="AP24" s="28" t="s">
        <v>13</v>
      </c>
      <c r="AU24" s="27">
        <f t="shared" si="15"/>
        <v>0</v>
      </c>
      <c r="AV24" s="27">
        <f t="shared" si="16"/>
        <v>0</v>
      </c>
      <c r="AW24" s="27">
        <f t="shared" si="17"/>
        <v>0</v>
      </c>
      <c r="AX24" s="29" t="s">
        <v>784</v>
      </c>
      <c r="AY24" s="29" t="s">
        <v>793</v>
      </c>
      <c r="AZ24" s="17" t="s">
        <v>796</v>
      </c>
      <c r="BB24" s="27">
        <f t="shared" si="18"/>
        <v>0</v>
      </c>
      <c r="BC24" s="27">
        <f t="shared" si="19"/>
        <v>0</v>
      </c>
      <c r="BD24" s="27">
        <v>0</v>
      </c>
      <c r="BE24" s="27">
        <f t="shared" si="20"/>
        <v>0.2216</v>
      </c>
      <c r="BG24" s="26">
        <f t="shared" si="21"/>
        <v>0</v>
      </c>
      <c r="BH24" s="26">
        <f t="shared" si="22"/>
        <v>0</v>
      </c>
      <c r="BI24" s="26">
        <f t="shared" si="23"/>
        <v>0</v>
      </c>
    </row>
    <row r="25" spans="1:61" ht="12.75" hidden="1">
      <c r="A25" s="24" t="s">
        <v>18</v>
      </c>
      <c r="B25" s="25"/>
      <c r="C25" s="25" t="s">
        <v>264</v>
      </c>
      <c r="D25" s="25" t="s">
        <v>510</v>
      </c>
      <c r="E25" s="25" t="s">
        <v>752</v>
      </c>
      <c r="F25" s="26">
        <v>0</v>
      </c>
      <c r="G25" s="26">
        <f>'Smluvní ceník'!G25</f>
        <v>0</v>
      </c>
      <c r="H25" s="26">
        <f t="shared" si="0"/>
        <v>0</v>
      </c>
      <c r="I25" s="26">
        <f t="shared" si="1"/>
        <v>0</v>
      </c>
      <c r="J25" s="26">
        <f t="shared" si="2"/>
        <v>0</v>
      </c>
      <c r="K25" s="26">
        <v>0</v>
      </c>
      <c r="L25" s="26">
        <f t="shared" si="3"/>
        <v>0</v>
      </c>
      <c r="Y25" s="27">
        <f t="shared" si="4"/>
        <v>0</v>
      </c>
      <c r="AA25" s="27">
        <f t="shared" si="5"/>
        <v>0</v>
      </c>
      <c r="AB25" s="27">
        <f t="shared" si="6"/>
        <v>0</v>
      </c>
      <c r="AC25" s="27">
        <f t="shared" si="7"/>
        <v>0</v>
      </c>
      <c r="AD25" s="27">
        <f t="shared" si="8"/>
        <v>0</v>
      </c>
      <c r="AE25" s="27">
        <f t="shared" si="9"/>
        <v>0</v>
      </c>
      <c r="AF25" s="27">
        <f t="shared" si="10"/>
        <v>0</v>
      </c>
      <c r="AG25" s="27">
        <f t="shared" si="11"/>
        <v>0</v>
      </c>
      <c r="AH25" s="17"/>
      <c r="AI25" s="26">
        <f t="shared" si="12"/>
        <v>0</v>
      </c>
      <c r="AJ25" s="26">
        <f t="shared" si="13"/>
        <v>0</v>
      </c>
      <c r="AK25" s="26">
        <f t="shared" si="14"/>
        <v>0</v>
      </c>
      <c r="AM25" s="27">
        <v>21</v>
      </c>
      <c r="AN25" s="27">
        <f>G25*0</f>
        <v>0</v>
      </c>
      <c r="AO25" s="27">
        <f>G25*(1-0)</f>
        <v>0</v>
      </c>
      <c r="AP25" s="28" t="s">
        <v>11</v>
      </c>
      <c r="AU25" s="27">
        <f t="shared" si="15"/>
        <v>0</v>
      </c>
      <c r="AV25" s="27">
        <f t="shared" si="16"/>
        <v>0</v>
      </c>
      <c r="AW25" s="27">
        <f t="shared" si="17"/>
        <v>0</v>
      </c>
      <c r="AX25" s="29" t="s">
        <v>784</v>
      </c>
      <c r="AY25" s="29" t="s">
        <v>793</v>
      </c>
      <c r="AZ25" s="17" t="s">
        <v>796</v>
      </c>
      <c r="BB25" s="27">
        <f t="shared" si="18"/>
        <v>0</v>
      </c>
      <c r="BC25" s="27">
        <f t="shared" si="19"/>
        <v>0</v>
      </c>
      <c r="BD25" s="27">
        <v>0</v>
      </c>
      <c r="BE25" s="27">
        <f t="shared" si="20"/>
        <v>0</v>
      </c>
      <c r="BG25" s="26">
        <f t="shared" si="21"/>
        <v>0</v>
      </c>
      <c r="BH25" s="26">
        <f t="shared" si="22"/>
        <v>0</v>
      </c>
      <c r="BI25" s="26">
        <f t="shared" si="23"/>
        <v>0</v>
      </c>
    </row>
    <row r="26" spans="1:61" ht="12.75">
      <c r="A26" s="24" t="s">
        <v>19</v>
      </c>
      <c r="B26" s="25"/>
      <c r="C26" s="25" t="s">
        <v>265</v>
      </c>
      <c r="D26" s="25" t="s">
        <v>511</v>
      </c>
      <c r="E26" s="25" t="s">
        <v>752</v>
      </c>
      <c r="F26" s="26">
        <f>SUM(J15:J24)/100</f>
        <v>0</v>
      </c>
      <c r="G26" s="26">
        <f>'Smluvní ceník'!G26</f>
        <v>0</v>
      </c>
      <c r="H26" s="26">
        <f t="shared" si="0"/>
        <v>0</v>
      </c>
      <c r="I26" s="26">
        <f t="shared" si="1"/>
        <v>0</v>
      </c>
      <c r="J26" s="26">
        <f t="shared" si="2"/>
        <v>0</v>
      </c>
      <c r="K26" s="26">
        <v>0</v>
      </c>
      <c r="L26" s="26">
        <f t="shared" si="3"/>
        <v>0</v>
      </c>
      <c r="Y26" s="27">
        <f t="shared" si="4"/>
        <v>0</v>
      </c>
      <c r="AA26" s="27">
        <f t="shared" si="5"/>
        <v>0</v>
      </c>
      <c r="AB26" s="27">
        <f t="shared" si="6"/>
        <v>0</v>
      </c>
      <c r="AC26" s="27">
        <f t="shared" si="7"/>
        <v>0</v>
      </c>
      <c r="AD26" s="27">
        <f t="shared" si="8"/>
        <v>0</v>
      </c>
      <c r="AE26" s="27">
        <f t="shared" si="9"/>
        <v>0</v>
      </c>
      <c r="AF26" s="27">
        <f t="shared" si="10"/>
        <v>0</v>
      </c>
      <c r="AG26" s="27">
        <f t="shared" si="11"/>
        <v>0</v>
      </c>
      <c r="AH26" s="17"/>
      <c r="AI26" s="26">
        <f t="shared" si="12"/>
        <v>0</v>
      </c>
      <c r="AJ26" s="26">
        <f t="shared" si="13"/>
        <v>0</v>
      </c>
      <c r="AK26" s="26">
        <f t="shared" si="14"/>
        <v>0</v>
      </c>
      <c r="AM26" s="27">
        <v>21</v>
      </c>
      <c r="AN26" s="27">
        <f>G26*0</f>
        <v>0</v>
      </c>
      <c r="AO26" s="27">
        <f>G26*(1-0)</f>
        <v>0</v>
      </c>
      <c r="AP26" s="28" t="s">
        <v>11</v>
      </c>
      <c r="AU26" s="27">
        <f t="shared" si="15"/>
        <v>0</v>
      </c>
      <c r="AV26" s="27">
        <f t="shared" si="16"/>
        <v>0</v>
      </c>
      <c r="AW26" s="27">
        <f t="shared" si="17"/>
        <v>0</v>
      </c>
      <c r="AX26" s="29" t="s">
        <v>784</v>
      </c>
      <c r="AY26" s="29" t="s">
        <v>793</v>
      </c>
      <c r="AZ26" s="17" t="s">
        <v>796</v>
      </c>
      <c r="BB26" s="27">
        <f t="shared" si="18"/>
        <v>0</v>
      </c>
      <c r="BC26" s="27">
        <f t="shared" si="19"/>
        <v>0</v>
      </c>
      <c r="BD26" s="27">
        <v>0</v>
      </c>
      <c r="BE26" s="27">
        <f t="shared" si="20"/>
        <v>0</v>
      </c>
      <c r="BG26" s="26">
        <f t="shared" si="21"/>
        <v>0</v>
      </c>
      <c r="BH26" s="26">
        <f t="shared" si="22"/>
        <v>0</v>
      </c>
      <c r="BI26" s="26">
        <f t="shared" si="23"/>
        <v>0</v>
      </c>
    </row>
    <row r="27" spans="1:61" ht="12.75" hidden="1">
      <c r="A27" s="24" t="s">
        <v>20</v>
      </c>
      <c r="B27" s="25"/>
      <c r="C27" s="25" t="s">
        <v>266</v>
      </c>
      <c r="D27" s="25" t="s">
        <v>512</v>
      </c>
      <c r="E27" s="25" t="s">
        <v>752</v>
      </c>
      <c r="F27" s="26">
        <v>0</v>
      </c>
      <c r="G27" s="26">
        <f>'Smluvní ceník'!G27</f>
        <v>0</v>
      </c>
      <c r="H27" s="26">
        <f t="shared" si="0"/>
        <v>0</v>
      </c>
      <c r="I27" s="26">
        <f t="shared" si="1"/>
        <v>0</v>
      </c>
      <c r="J27" s="26">
        <f t="shared" si="2"/>
        <v>0</v>
      </c>
      <c r="K27" s="26">
        <v>0</v>
      </c>
      <c r="L27" s="26">
        <f t="shared" si="3"/>
        <v>0</v>
      </c>
      <c r="Y27" s="27">
        <f t="shared" si="4"/>
        <v>0</v>
      </c>
      <c r="AA27" s="27">
        <f t="shared" si="5"/>
        <v>0</v>
      </c>
      <c r="AB27" s="27">
        <f t="shared" si="6"/>
        <v>0</v>
      </c>
      <c r="AC27" s="27">
        <f t="shared" si="7"/>
        <v>0</v>
      </c>
      <c r="AD27" s="27">
        <f t="shared" si="8"/>
        <v>0</v>
      </c>
      <c r="AE27" s="27">
        <f t="shared" si="9"/>
        <v>0</v>
      </c>
      <c r="AF27" s="27">
        <f t="shared" si="10"/>
        <v>0</v>
      </c>
      <c r="AG27" s="27">
        <f t="shared" si="11"/>
        <v>0</v>
      </c>
      <c r="AH27" s="17"/>
      <c r="AI27" s="26">
        <f t="shared" si="12"/>
        <v>0</v>
      </c>
      <c r="AJ27" s="26">
        <f t="shared" si="13"/>
        <v>0</v>
      </c>
      <c r="AK27" s="26">
        <f t="shared" si="14"/>
        <v>0</v>
      </c>
      <c r="AM27" s="27">
        <v>21</v>
      </c>
      <c r="AN27" s="27">
        <f>G27*0</f>
        <v>0</v>
      </c>
      <c r="AO27" s="27">
        <f>G27*(1-0)</f>
        <v>0</v>
      </c>
      <c r="AP27" s="28" t="s">
        <v>11</v>
      </c>
      <c r="AU27" s="27">
        <f t="shared" si="15"/>
        <v>0</v>
      </c>
      <c r="AV27" s="27">
        <f t="shared" si="16"/>
        <v>0</v>
      </c>
      <c r="AW27" s="27">
        <f t="shared" si="17"/>
        <v>0</v>
      </c>
      <c r="AX27" s="29" t="s">
        <v>784</v>
      </c>
      <c r="AY27" s="29" t="s">
        <v>793</v>
      </c>
      <c r="AZ27" s="17" t="s">
        <v>796</v>
      </c>
      <c r="BB27" s="27">
        <f t="shared" si="18"/>
        <v>0</v>
      </c>
      <c r="BC27" s="27">
        <f t="shared" si="19"/>
        <v>0</v>
      </c>
      <c r="BD27" s="27">
        <v>0</v>
      </c>
      <c r="BE27" s="27">
        <f t="shared" si="20"/>
        <v>0</v>
      </c>
      <c r="BG27" s="26">
        <f t="shared" si="21"/>
        <v>0</v>
      </c>
      <c r="BH27" s="26">
        <f t="shared" si="22"/>
        <v>0</v>
      </c>
      <c r="BI27" s="26">
        <f t="shared" si="23"/>
        <v>0</v>
      </c>
    </row>
    <row r="28" spans="1:61" ht="12.75">
      <c r="A28" s="24" t="s">
        <v>21</v>
      </c>
      <c r="B28" s="25"/>
      <c r="C28" s="25" t="s">
        <v>267</v>
      </c>
      <c r="D28" s="25" t="s">
        <v>513</v>
      </c>
      <c r="E28" s="25" t="s">
        <v>752</v>
      </c>
      <c r="F28" s="26">
        <f>F26</f>
        <v>0</v>
      </c>
      <c r="G28" s="26">
        <f>'Smluvní ceník'!G28</f>
        <v>0</v>
      </c>
      <c r="H28" s="26">
        <f t="shared" si="0"/>
        <v>0</v>
      </c>
      <c r="I28" s="26">
        <f t="shared" si="1"/>
        <v>0</v>
      </c>
      <c r="J28" s="26">
        <f t="shared" si="2"/>
        <v>0</v>
      </c>
      <c r="K28" s="26">
        <v>0</v>
      </c>
      <c r="L28" s="26">
        <f t="shared" si="3"/>
        <v>0</v>
      </c>
      <c r="Y28" s="27">
        <f t="shared" si="4"/>
        <v>0</v>
      </c>
      <c r="AA28" s="27">
        <f t="shared" si="5"/>
        <v>0</v>
      </c>
      <c r="AB28" s="27">
        <f t="shared" si="6"/>
        <v>0</v>
      </c>
      <c r="AC28" s="27">
        <f t="shared" si="7"/>
        <v>0</v>
      </c>
      <c r="AD28" s="27">
        <f t="shared" si="8"/>
        <v>0</v>
      </c>
      <c r="AE28" s="27">
        <f t="shared" si="9"/>
        <v>0</v>
      </c>
      <c r="AF28" s="27">
        <f t="shared" si="10"/>
        <v>0</v>
      </c>
      <c r="AG28" s="27">
        <f t="shared" si="11"/>
        <v>0</v>
      </c>
      <c r="AH28" s="17"/>
      <c r="AI28" s="26">
        <f t="shared" si="12"/>
        <v>0</v>
      </c>
      <c r="AJ28" s="26">
        <f t="shared" si="13"/>
        <v>0</v>
      </c>
      <c r="AK28" s="26">
        <f t="shared" si="14"/>
        <v>0</v>
      </c>
      <c r="AM28" s="27">
        <v>21</v>
      </c>
      <c r="AN28" s="27">
        <f>G28*0</f>
        <v>0</v>
      </c>
      <c r="AO28" s="27">
        <f>G28*(1-0)</f>
        <v>0</v>
      </c>
      <c r="AP28" s="28" t="s">
        <v>11</v>
      </c>
      <c r="AU28" s="27">
        <f t="shared" si="15"/>
        <v>0</v>
      </c>
      <c r="AV28" s="27">
        <f t="shared" si="16"/>
        <v>0</v>
      </c>
      <c r="AW28" s="27">
        <f t="shared" si="17"/>
        <v>0</v>
      </c>
      <c r="AX28" s="29" t="s">
        <v>784</v>
      </c>
      <c r="AY28" s="29" t="s">
        <v>793</v>
      </c>
      <c r="AZ28" s="17" t="s">
        <v>796</v>
      </c>
      <c r="BB28" s="27">
        <f t="shared" si="18"/>
        <v>0</v>
      </c>
      <c r="BC28" s="27">
        <f t="shared" si="19"/>
        <v>0</v>
      </c>
      <c r="BD28" s="27">
        <v>0</v>
      </c>
      <c r="BE28" s="27">
        <f t="shared" si="20"/>
        <v>0</v>
      </c>
      <c r="BG28" s="26">
        <f t="shared" si="21"/>
        <v>0</v>
      </c>
      <c r="BH28" s="26">
        <f t="shared" si="22"/>
        <v>0</v>
      </c>
      <c r="BI28" s="26">
        <f t="shared" si="23"/>
        <v>0</v>
      </c>
    </row>
    <row r="29" spans="1:46" ht="12.75">
      <c r="A29" s="30"/>
      <c r="B29" s="31"/>
      <c r="C29" s="31" t="s">
        <v>268</v>
      </c>
      <c r="D29" s="31" t="s">
        <v>514</v>
      </c>
      <c r="E29" s="32" t="s">
        <v>6</v>
      </c>
      <c r="F29" s="32" t="s">
        <v>6</v>
      </c>
      <c r="G29" s="32">
        <f>'Smluvní ceník'!G29</f>
        <v>0</v>
      </c>
      <c r="H29" s="23">
        <f>SUM(H30:H137)</f>
        <v>0</v>
      </c>
      <c r="I29" s="23">
        <f>SUM(I30:I137)</f>
        <v>0</v>
      </c>
      <c r="J29" s="23">
        <f>SUM(J30:J137)</f>
        <v>0</v>
      </c>
      <c r="K29" s="17"/>
      <c r="L29" s="23">
        <f>SUM(L30:L137)</f>
        <v>17.68123</v>
      </c>
      <c r="AH29" s="17"/>
      <c r="AR29" s="23">
        <f>SUM(AI30:AI137)</f>
        <v>0</v>
      </c>
      <c r="AS29" s="23">
        <f>SUM(AJ30:AJ137)</f>
        <v>0</v>
      </c>
      <c r="AT29" s="23">
        <f>SUM(AK30:AK137)</f>
        <v>0</v>
      </c>
    </row>
    <row r="30" spans="1:61" ht="12.75">
      <c r="A30" s="24" t="s">
        <v>22</v>
      </c>
      <c r="B30" s="25"/>
      <c r="C30" s="25" t="s">
        <v>269</v>
      </c>
      <c r="D30" s="25" t="s">
        <v>515</v>
      </c>
      <c r="E30" s="25" t="s">
        <v>753</v>
      </c>
      <c r="F30" s="47">
        <v>150</v>
      </c>
      <c r="G30" s="26">
        <f>'Smluvní ceník'!G30</f>
        <v>0</v>
      </c>
      <c r="H30" s="26">
        <f aca="true" t="shared" si="24" ref="H30:H43">F30*AN30</f>
        <v>0</v>
      </c>
      <c r="I30" s="26">
        <f aca="true" t="shared" si="25" ref="I30:I43">F30*AO30</f>
        <v>0</v>
      </c>
      <c r="J30" s="26">
        <f aca="true" t="shared" si="26" ref="J30:J43">F30*G30</f>
        <v>0</v>
      </c>
      <c r="K30" s="26">
        <v>0.01638</v>
      </c>
      <c r="L30" s="26">
        <f aca="true" t="shared" si="27" ref="L30:L43">F30*K30</f>
        <v>2.457</v>
      </c>
      <c r="Y30" s="27">
        <f aca="true" t="shared" si="28" ref="Y30:Y43">IF(AP30="5",BI30,0)</f>
        <v>0</v>
      </c>
      <c r="AA30" s="27">
        <f aca="true" t="shared" si="29" ref="AA30:AA43">IF(AP30="1",BG30,0)</f>
        <v>0</v>
      </c>
      <c r="AB30" s="27">
        <f aca="true" t="shared" si="30" ref="AB30:AB43">IF(AP30="1",BH30,0)</f>
        <v>0</v>
      </c>
      <c r="AC30" s="27">
        <f aca="true" t="shared" si="31" ref="AC30:AC43">IF(AP30="7",BG30,0)</f>
        <v>0</v>
      </c>
      <c r="AD30" s="27">
        <f aca="true" t="shared" si="32" ref="AD30:AD43">IF(AP30="7",BH30,0)</f>
        <v>0</v>
      </c>
      <c r="AE30" s="27">
        <f aca="true" t="shared" si="33" ref="AE30:AE43">IF(AP30="2",BG30,0)</f>
        <v>0</v>
      </c>
      <c r="AF30" s="27">
        <f aca="true" t="shared" si="34" ref="AF30:AF43">IF(AP30="2",BH30,0)</f>
        <v>0</v>
      </c>
      <c r="AG30" s="27">
        <f aca="true" t="shared" si="35" ref="AG30:AG43">IF(AP30="0",BI30,0)</f>
        <v>0</v>
      </c>
      <c r="AH30" s="17"/>
      <c r="AI30" s="26">
        <f aca="true" t="shared" si="36" ref="AI30:AI43">IF(AM30=0,J30,0)</f>
        <v>0</v>
      </c>
      <c r="AJ30" s="26">
        <f aca="true" t="shared" si="37" ref="AJ30:AJ43">IF(AM30=15,J30,0)</f>
        <v>0</v>
      </c>
      <c r="AK30" s="26">
        <f aca="true" t="shared" si="38" ref="AK30:AK43">IF(AM30=21,J30,0)</f>
        <v>0</v>
      </c>
      <c r="AM30" s="27">
        <v>21</v>
      </c>
      <c r="AN30" s="27">
        <f aca="true" t="shared" si="39" ref="AN30:AN41">G30*0</f>
        <v>0</v>
      </c>
      <c r="AO30" s="27">
        <f aca="true" t="shared" si="40" ref="AO30:AO41">G30*(1-0)</f>
        <v>0</v>
      </c>
      <c r="AP30" s="28" t="s">
        <v>13</v>
      </c>
      <c r="AU30" s="27">
        <f aca="true" t="shared" si="41" ref="AU30:AU43">AV30+AW30</f>
        <v>0</v>
      </c>
      <c r="AV30" s="27">
        <f aca="true" t="shared" si="42" ref="AV30:AV43">F30*AN30</f>
        <v>0</v>
      </c>
      <c r="AW30" s="27">
        <f aca="true" t="shared" si="43" ref="AW30:AW43">F30*AO30</f>
        <v>0</v>
      </c>
      <c r="AX30" s="29" t="s">
        <v>785</v>
      </c>
      <c r="AY30" s="29" t="s">
        <v>793</v>
      </c>
      <c r="AZ30" s="17" t="s">
        <v>796</v>
      </c>
      <c r="BB30" s="27">
        <f aca="true" t="shared" si="44" ref="BB30:BB43">AV30+AW30</f>
        <v>0</v>
      </c>
      <c r="BC30" s="27">
        <f aca="true" t="shared" si="45" ref="BC30:BC43">G30/(100-BD30)*100</f>
        <v>0</v>
      </c>
      <c r="BD30" s="27">
        <v>0</v>
      </c>
      <c r="BE30" s="27">
        <f aca="true" t="shared" si="46" ref="BE30:BE43">L30</f>
        <v>2.457</v>
      </c>
      <c r="BG30" s="26">
        <f aca="true" t="shared" si="47" ref="BG30:BG43">F30*AN30</f>
        <v>0</v>
      </c>
      <c r="BH30" s="26">
        <f aca="true" t="shared" si="48" ref="BH30:BH43">F30*AO30</f>
        <v>0</v>
      </c>
      <c r="BI30" s="26">
        <f aca="true" t="shared" si="49" ref="BI30:BI43">F30*G30</f>
        <v>0</v>
      </c>
    </row>
    <row r="31" spans="1:61" ht="12.75">
      <c r="A31" s="24" t="s">
        <v>23</v>
      </c>
      <c r="B31" s="25"/>
      <c r="C31" s="25" t="s">
        <v>270</v>
      </c>
      <c r="D31" s="25" t="s">
        <v>516</v>
      </c>
      <c r="E31" s="25" t="s">
        <v>753</v>
      </c>
      <c r="F31" s="47">
        <v>20</v>
      </c>
      <c r="G31" s="26">
        <f>'Smluvní ceník'!G31</f>
        <v>0</v>
      </c>
      <c r="H31" s="26">
        <f t="shared" si="24"/>
        <v>0</v>
      </c>
      <c r="I31" s="26">
        <f t="shared" si="25"/>
        <v>0</v>
      </c>
      <c r="J31" s="26">
        <f t="shared" si="26"/>
        <v>0</v>
      </c>
      <c r="K31" s="26">
        <v>0.01638</v>
      </c>
      <c r="L31" s="26">
        <f t="shared" si="27"/>
        <v>0.3276</v>
      </c>
      <c r="Y31" s="27">
        <f t="shared" si="28"/>
        <v>0</v>
      </c>
      <c r="AA31" s="27">
        <f t="shared" si="29"/>
        <v>0</v>
      </c>
      <c r="AB31" s="27">
        <f t="shared" si="30"/>
        <v>0</v>
      </c>
      <c r="AC31" s="27">
        <f t="shared" si="31"/>
        <v>0</v>
      </c>
      <c r="AD31" s="27">
        <f t="shared" si="32"/>
        <v>0</v>
      </c>
      <c r="AE31" s="27">
        <f t="shared" si="33"/>
        <v>0</v>
      </c>
      <c r="AF31" s="27">
        <f t="shared" si="34"/>
        <v>0</v>
      </c>
      <c r="AG31" s="27">
        <f t="shared" si="35"/>
        <v>0</v>
      </c>
      <c r="AH31" s="17"/>
      <c r="AI31" s="26">
        <f t="shared" si="36"/>
        <v>0</v>
      </c>
      <c r="AJ31" s="26">
        <f t="shared" si="37"/>
        <v>0</v>
      </c>
      <c r="AK31" s="26">
        <f t="shared" si="38"/>
        <v>0</v>
      </c>
      <c r="AM31" s="27">
        <v>21</v>
      </c>
      <c r="AN31" s="27">
        <f t="shared" si="39"/>
        <v>0</v>
      </c>
      <c r="AO31" s="27">
        <f t="shared" si="40"/>
        <v>0</v>
      </c>
      <c r="AP31" s="28" t="s">
        <v>13</v>
      </c>
      <c r="AU31" s="27">
        <f t="shared" si="41"/>
        <v>0</v>
      </c>
      <c r="AV31" s="27">
        <f t="shared" si="42"/>
        <v>0</v>
      </c>
      <c r="AW31" s="27">
        <f t="shared" si="43"/>
        <v>0</v>
      </c>
      <c r="AX31" s="29" t="s">
        <v>785</v>
      </c>
      <c r="AY31" s="29" t="s">
        <v>793</v>
      </c>
      <c r="AZ31" s="17" t="s">
        <v>796</v>
      </c>
      <c r="BB31" s="27">
        <f t="shared" si="44"/>
        <v>0</v>
      </c>
      <c r="BC31" s="27">
        <f t="shared" si="45"/>
        <v>0</v>
      </c>
      <c r="BD31" s="27">
        <v>0</v>
      </c>
      <c r="BE31" s="27">
        <f t="shared" si="46"/>
        <v>0.3276</v>
      </c>
      <c r="BG31" s="26">
        <f t="shared" si="47"/>
        <v>0</v>
      </c>
      <c r="BH31" s="26">
        <f t="shared" si="48"/>
        <v>0</v>
      </c>
      <c r="BI31" s="26">
        <f t="shared" si="49"/>
        <v>0</v>
      </c>
    </row>
    <row r="32" spans="1:61" ht="12.75">
      <c r="A32" s="24" t="s">
        <v>24</v>
      </c>
      <c r="B32" s="25"/>
      <c r="C32" s="25" t="s">
        <v>271</v>
      </c>
      <c r="D32" s="25" t="s">
        <v>517</v>
      </c>
      <c r="E32" s="25" t="s">
        <v>753</v>
      </c>
      <c r="F32" s="47">
        <v>15</v>
      </c>
      <c r="G32" s="26">
        <f>'Smluvní ceník'!G32</f>
        <v>0</v>
      </c>
      <c r="H32" s="26">
        <f t="shared" si="24"/>
        <v>0</v>
      </c>
      <c r="I32" s="26">
        <f t="shared" si="25"/>
        <v>0</v>
      </c>
      <c r="J32" s="26">
        <f t="shared" si="26"/>
        <v>0</v>
      </c>
      <c r="K32" s="26">
        <v>0.01638</v>
      </c>
      <c r="L32" s="26">
        <f t="shared" si="27"/>
        <v>0.24569999999999997</v>
      </c>
      <c r="Y32" s="27">
        <f t="shared" si="28"/>
        <v>0</v>
      </c>
      <c r="AA32" s="27">
        <f t="shared" si="29"/>
        <v>0</v>
      </c>
      <c r="AB32" s="27">
        <f t="shared" si="30"/>
        <v>0</v>
      </c>
      <c r="AC32" s="27">
        <f t="shared" si="31"/>
        <v>0</v>
      </c>
      <c r="AD32" s="27">
        <f t="shared" si="32"/>
        <v>0</v>
      </c>
      <c r="AE32" s="27">
        <f t="shared" si="33"/>
        <v>0</v>
      </c>
      <c r="AF32" s="27">
        <f t="shared" si="34"/>
        <v>0</v>
      </c>
      <c r="AG32" s="27">
        <f t="shared" si="35"/>
        <v>0</v>
      </c>
      <c r="AH32" s="17"/>
      <c r="AI32" s="26">
        <f t="shared" si="36"/>
        <v>0</v>
      </c>
      <c r="AJ32" s="26">
        <f t="shared" si="37"/>
        <v>0</v>
      </c>
      <c r="AK32" s="26">
        <f t="shared" si="38"/>
        <v>0</v>
      </c>
      <c r="AM32" s="27">
        <v>21</v>
      </c>
      <c r="AN32" s="27">
        <f t="shared" si="39"/>
        <v>0</v>
      </c>
      <c r="AO32" s="27">
        <f t="shared" si="40"/>
        <v>0</v>
      </c>
      <c r="AP32" s="28" t="s">
        <v>13</v>
      </c>
      <c r="AU32" s="27">
        <f t="shared" si="41"/>
        <v>0</v>
      </c>
      <c r="AV32" s="27">
        <f t="shared" si="42"/>
        <v>0</v>
      </c>
      <c r="AW32" s="27">
        <f t="shared" si="43"/>
        <v>0</v>
      </c>
      <c r="AX32" s="29" t="s">
        <v>785</v>
      </c>
      <c r="AY32" s="29" t="s">
        <v>793</v>
      </c>
      <c r="AZ32" s="17" t="s">
        <v>796</v>
      </c>
      <c r="BB32" s="27">
        <f t="shared" si="44"/>
        <v>0</v>
      </c>
      <c r="BC32" s="27">
        <f t="shared" si="45"/>
        <v>0</v>
      </c>
      <c r="BD32" s="27">
        <v>0</v>
      </c>
      <c r="BE32" s="27">
        <f t="shared" si="46"/>
        <v>0.24569999999999997</v>
      </c>
      <c r="BG32" s="26">
        <f t="shared" si="47"/>
        <v>0</v>
      </c>
      <c r="BH32" s="26">
        <f t="shared" si="48"/>
        <v>0</v>
      </c>
      <c r="BI32" s="26">
        <f t="shared" si="49"/>
        <v>0</v>
      </c>
    </row>
    <row r="33" spans="1:61" ht="12.75">
      <c r="A33" s="24" t="s">
        <v>25</v>
      </c>
      <c r="B33" s="25"/>
      <c r="C33" s="25" t="s">
        <v>272</v>
      </c>
      <c r="D33" s="25" t="s">
        <v>518</v>
      </c>
      <c r="E33" s="25" t="s">
        <v>753</v>
      </c>
      <c r="F33" s="47">
        <v>150</v>
      </c>
      <c r="G33" s="26">
        <f>'Smluvní ceník'!G33</f>
        <v>0</v>
      </c>
      <c r="H33" s="26">
        <f t="shared" si="24"/>
        <v>0</v>
      </c>
      <c r="I33" s="26">
        <f t="shared" si="25"/>
        <v>0</v>
      </c>
      <c r="J33" s="26">
        <f t="shared" si="26"/>
        <v>0</v>
      </c>
      <c r="K33" s="26">
        <v>0.01638</v>
      </c>
      <c r="L33" s="26">
        <f t="shared" si="27"/>
        <v>2.457</v>
      </c>
      <c r="Y33" s="27">
        <f t="shared" si="28"/>
        <v>0</v>
      </c>
      <c r="AA33" s="27">
        <f t="shared" si="29"/>
        <v>0</v>
      </c>
      <c r="AB33" s="27">
        <f t="shared" si="30"/>
        <v>0</v>
      </c>
      <c r="AC33" s="27">
        <f t="shared" si="31"/>
        <v>0</v>
      </c>
      <c r="AD33" s="27">
        <f t="shared" si="32"/>
        <v>0</v>
      </c>
      <c r="AE33" s="27">
        <f t="shared" si="33"/>
        <v>0</v>
      </c>
      <c r="AF33" s="27">
        <f t="shared" si="34"/>
        <v>0</v>
      </c>
      <c r="AG33" s="27">
        <f t="shared" si="35"/>
        <v>0</v>
      </c>
      <c r="AH33" s="17"/>
      <c r="AI33" s="26">
        <f t="shared" si="36"/>
        <v>0</v>
      </c>
      <c r="AJ33" s="26">
        <f t="shared" si="37"/>
        <v>0</v>
      </c>
      <c r="AK33" s="26">
        <f t="shared" si="38"/>
        <v>0</v>
      </c>
      <c r="AM33" s="27">
        <v>21</v>
      </c>
      <c r="AN33" s="27">
        <f t="shared" si="39"/>
        <v>0</v>
      </c>
      <c r="AO33" s="27">
        <f t="shared" si="40"/>
        <v>0</v>
      </c>
      <c r="AP33" s="28" t="s">
        <v>13</v>
      </c>
      <c r="AU33" s="27">
        <f t="shared" si="41"/>
        <v>0</v>
      </c>
      <c r="AV33" s="27">
        <f t="shared" si="42"/>
        <v>0</v>
      </c>
      <c r="AW33" s="27">
        <f t="shared" si="43"/>
        <v>0</v>
      </c>
      <c r="AX33" s="29" t="s">
        <v>785</v>
      </c>
      <c r="AY33" s="29" t="s">
        <v>793</v>
      </c>
      <c r="AZ33" s="17" t="s">
        <v>796</v>
      </c>
      <c r="BB33" s="27">
        <f t="shared" si="44"/>
        <v>0</v>
      </c>
      <c r="BC33" s="27">
        <f t="shared" si="45"/>
        <v>0</v>
      </c>
      <c r="BD33" s="27">
        <v>0</v>
      </c>
      <c r="BE33" s="27">
        <f t="shared" si="46"/>
        <v>2.457</v>
      </c>
      <c r="BG33" s="26">
        <f t="shared" si="47"/>
        <v>0</v>
      </c>
      <c r="BH33" s="26">
        <f t="shared" si="48"/>
        <v>0</v>
      </c>
      <c r="BI33" s="26">
        <f t="shared" si="49"/>
        <v>0</v>
      </c>
    </row>
    <row r="34" spans="1:61" ht="12.75">
      <c r="A34" s="24" t="s">
        <v>26</v>
      </c>
      <c r="B34" s="25"/>
      <c r="C34" s="25" t="s">
        <v>273</v>
      </c>
      <c r="D34" s="25" t="s">
        <v>519</v>
      </c>
      <c r="E34" s="25" t="s">
        <v>753</v>
      </c>
      <c r="F34" s="47">
        <v>20</v>
      </c>
      <c r="G34" s="26">
        <f>'Smluvní ceník'!G34</f>
        <v>0</v>
      </c>
      <c r="H34" s="26">
        <f t="shared" si="24"/>
        <v>0</v>
      </c>
      <c r="I34" s="26">
        <f t="shared" si="25"/>
        <v>0</v>
      </c>
      <c r="J34" s="26">
        <f t="shared" si="26"/>
        <v>0</v>
      </c>
      <c r="K34" s="26">
        <v>0.01638</v>
      </c>
      <c r="L34" s="26">
        <f t="shared" si="27"/>
        <v>0.3276</v>
      </c>
      <c r="Y34" s="27">
        <f t="shared" si="28"/>
        <v>0</v>
      </c>
      <c r="AA34" s="27">
        <f t="shared" si="29"/>
        <v>0</v>
      </c>
      <c r="AB34" s="27">
        <f t="shared" si="30"/>
        <v>0</v>
      </c>
      <c r="AC34" s="27">
        <f t="shared" si="31"/>
        <v>0</v>
      </c>
      <c r="AD34" s="27">
        <f t="shared" si="32"/>
        <v>0</v>
      </c>
      <c r="AE34" s="27">
        <f t="shared" si="33"/>
        <v>0</v>
      </c>
      <c r="AF34" s="27">
        <f t="shared" si="34"/>
        <v>0</v>
      </c>
      <c r="AG34" s="27">
        <f t="shared" si="35"/>
        <v>0</v>
      </c>
      <c r="AH34" s="17"/>
      <c r="AI34" s="26">
        <f t="shared" si="36"/>
        <v>0</v>
      </c>
      <c r="AJ34" s="26">
        <f t="shared" si="37"/>
        <v>0</v>
      </c>
      <c r="AK34" s="26">
        <f t="shared" si="38"/>
        <v>0</v>
      </c>
      <c r="AM34" s="27">
        <v>21</v>
      </c>
      <c r="AN34" s="27">
        <f t="shared" si="39"/>
        <v>0</v>
      </c>
      <c r="AO34" s="27">
        <f t="shared" si="40"/>
        <v>0</v>
      </c>
      <c r="AP34" s="28" t="s">
        <v>13</v>
      </c>
      <c r="AU34" s="27">
        <f t="shared" si="41"/>
        <v>0</v>
      </c>
      <c r="AV34" s="27">
        <f t="shared" si="42"/>
        <v>0</v>
      </c>
      <c r="AW34" s="27">
        <f t="shared" si="43"/>
        <v>0</v>
      </c>
      <c r="AX34" s="29" t="s">
        <v>785</v>
      </c>
      <c r="AY34" s="29" t="s">
        <v>793</v>
      </c>
      <c r="AZ34" s="17" t="s">
        <v>796</v>
      </c>
      <c r="BB34" s="27">
        <f t="shared" si="44"/>
        <v>0</v>
      </c>
      <c r="BC34" s="27">
        <f t="shared" si="45"/>
        <v>0</v>
      </c>
      <c r="BD34" s="27">
        <v>0</v>
      </c>
      <c r="BE34" s="27">
        <f t="shared" si="46"/>
        <v>0.3276</v>
      </c>
      <c r="BG34" s="26">
        <f t="shared" si="47"/>
        <v>0</v>
      </c>
      <c r="BH34" s="26">
        <f t="shared" si="48"/>
        <v>0</v>
      </c>
      <c r="BI34" s="26">
        <f t="shared" si="49"/>
        <v>0</v>
      </c>
    </row>
    <row r="35" spans="1:61" ht="12.75">
      <c r="A35" s="24" t="s">
        <v>27</v>
      </c>
      <c r="B35" s="25"/>
      <c r="C35" s="25" t="s">
        <v>274</v>
      </c>
      <c r="D35" s="25" t="s">
        <v>520</v>
      </c>
      <c r="E35" s="25" t="s">
        <v>753</v>
      </c>
      <c r="F35" s="47">
        <v>15</v>
      </c>
      <c r="G35" s="26">
        <f>'Smluvní ceník'!G35</f>
        <v>0</v>
      </c>
      <c r="H35" s="26">
        <f t="shared" si="24"/>
        <v>0</v>
      </c>
      <c r="I35" s="26">
        <f t="shared" si="25"/>
        <v>0</v>
      </c>
      <c r="J35" s="26">
        <f t="shared" si="26"/>
        <v>0</v>
      </c>
      <c r="K35" s="26">
        <v>0.01638</v>
      </c>
      <c r="L35" s="26">
        <f t="shared" si="27"/>
        <v>0.24569999999999997</v>
      </c>
      <c r="Y35" s="27">
        <f t="shared" si="28"/>
        <v>0</v>
      </c>
      <c r="AA35" s="27">
        <f t="shared" si="29"/>
        <v>0</v>
      </c>
      <c r="AB35" s="27">
        <f t="shared" si="30"/>
        <v>0</v>
      </c>
      <c r="AC35" s="27">
        <f t="shared" si="31"/>
        <v>0</v>
      </c>
      <c r="AD35" s="27">
        <f t="shared" si="32"/>
        <v>0</v>
      </c>
      <c r="AE35" s="27">
        <f t="shared" si="33"/>
        <v>0</v>
      </c>
      <c r="AF35" s="27">
        <f t="shared" si="34"/>
        <v>0</v>
      </c>
      <c r="AG35" s="27">
        <f t="shared" si="35"/>
        <v>0</v>
      </c>
      <c r="AH35" s="17"/>
      <c r="AI35" s="26">
        <f t="shared" si="36"/>
        <v>0</v>
      </c>
      <c r="AJ35" s="26">
        <f t="shared" si="37"/>
        <v>0</v>
      </c>
      <c r="AK35" s="26">
        <f t="shared" si="38"/>
        <v>0</v>
      </c>
      <c r="AM35" s="27">
        <v>21</v>
      </c>
      <c r="AN35" s="27">
        <f t="shared" si="39"/>
        <v>0</v>
      </c>
      <c r="AO35" s="27">
        <f t="shared" si="40"/>
        <v>0</v>
      </c>
      <c r="AP35" s="28" t="s">
        <v>13</v>
      </c>
      <c r="AU35" s="27">
        <f t="shared" si="41"/>
        <v>0</v>
      </c>
      <c r="AV35" s="27">
        <f t="shared" si="42"/>
        <v>0</v>
      </c>
      <c r="AW35" s="27">
        <f t="shared" si="43"/>
        <v>0</v>
      </c>
      <c r="AX35" s="29" t="s">
        <v>785</v>
      </c>
      <c r="AY35" s="29" t="s">
        <v>793</v>
      </c>
      <c r="AZ35" s="17" t="s">
        <v>796</v>
      </c>
      <c r="BB35" s="27">
        <f t="shared" si="44"/>
        <v>0</v>
      </c>
      <c r="BC35" s="27">
        <f t="shared" si="45"/>
        <v>0</v>
      </c>
      <c r="BD35" s="27">
        <v>0</v>
      </c>
      <c r="BE35" s="27">
        <f t="shared" si="46"/>
        <v>0.24569999999999997</v>
      </c>
      <c r="BG35" s="26">
        <f t="shared" si="47"/>
        <v>0</v>
      </c>
      <c r="BH35" s="26">
        <f t="shared" si="48"/>
        <v>0</v>
      </c>
      <c r="BI35" s="26">
        <f t="shared" si="49"/>
        <v>0</v>
      </c>
    </row>
    <row r="36" spans="1:61" ht="12.75">
      <c r="A36" s="24" t="s">
        <v>28</v>
      </c>
      <c r="B36" s="25"/>
      <c r="C36" s="25" t="s">
        <v>275</v>
      </c>
      <c r="D36" s="25" t="s">
        <v>521</v>
      </c>
      <c r="E36" s="25" t="s">
        <v>753</v>
      </c>
      <c r="F36" s="47">
        <v>150</v>
      </c>
      <c r="G36" s="26">
        <f>'Smluvní ceník'!G36</f>
        <v>0</v>
      </c>
      <c r="H36" s="26">
        <f t="shared" si="24"/>
        <v>0</v>
      </c>
      <c r="I36" s="26">
        <f t="shared" si="25"/>
        <v>0</v>
      </c>
      <c r="J36" s="26">
        <f t="shared" si="26"/>
        <v>0</v>
      </c>
      <c r="K36" s="26">
        <v>0.01638</v>
      </c>
      <c r="L36" s="26">
        <f t="shared" si="27"/>
        <v>2.457</v>
      </c>
      <c r="Y36" s="27">
        <f t="shared" si="28"/>
        <v>0</v>
      </c>
      <c r="AA36" s="27">
        <f t="shared" si="29"/>
        <v>0</v>
      </c>
      <c r="AB36" s="27">
        <f t="shared" si="30"/>
        <v>0</v>
      </c>
      <c r="AC36" s="27">
        <f t="shared" si="31"/>
        <v>0</v>
      </c>
      <c r="AD36" s="27">
        <f t="shared" si="32"/>
        <v>0</v>
      </c>
      <c r="AE36" s="27">
        <f t="shared" si="33"/>
        <v>0</v>
      </c>
      <c r="AF36" s="27">
        <f t="shared" si="34"/>
        <v>0</v>
      </c>
      <c r="AG36" s="27">
        <f t="shared" si="35"/>
        <v>0</v>
      </c>
      <c r="AH36" s="17"/>
      <c r="AI36" s="26">
        <f t="shared" si="36"/>
        <v>0</v>
      </c>
      <c r="AJ36" s="26">
        <f t="shared" si="37"/>
        <v>0</v>
      </c>
      <c r="AK36" s="26">
        <f t="shared" si="38"/>
        <v>0</v>
      </c>
      <c r="AM36" s="27">
        <v>21</v>
      </c>
      <c r="AN36" s="27">
        <f t="shared" si="39"/>
        <v>0</v>
      </c>
      <c r="AO36" s="27">
        <f t="shared" si="40"/>
        <v>0</v>
      </c>
      <c r="AP36" s="28" t="s">
        <v>13</v>
      </c>
      <c r="AU36" s="27">
        <f t="shared" si="41"/>
        <v>0</v>
      </c>
      <c r="AV36" s="27">
        <f t="shared" si="42"/>
        <v>0</v>
      </c>
      <c r="AW36" s="27">
        <f t="shared" si="43"/>
        <v>0</v>
      </c>
      <c r="AX36" s="29" t="s">
        <v>785</v>
      </c>
      <c r="AY36" s="29" t="s">
        <v>793</v>
      </c>
      <c r="AZ36" s="17" t="s">
        <v>796</v>
      </c>
      <c r="BB36" s="27">
        <f t="shared" si="44"/>
        <v>0</v>
      </c>
      <c r="BC36" s="27">
        <f t="shared" si="45"/>
        <v>0</v>
      </c>
      <c r="BD36" s="27">
        <v>0</v>
      </c>
      <c r="BE36" s="27">
        <f t="shared" si="46"/>
        <v>2.457</v>
      </c>
      <c r="BG36" s="26">
        <f t="shared" si="47"/>
        <v>0</v>
      </c>
      <c r="BH36" s="26">
        <f t="shared" si="48"/>
        <v>0</v>
      </c>
      <c r="BI36" s="26">
        <f t="shared" si="49"/>
        <v>0</v>
      </c>
    </row>
    <row r="37" spans="1:61" ht="12.75">
      <c r="A37" s="24" t="s">
        <v>29</v>
      </c>
      <c r="B37" s="25"/>
      <c r="C37" s="25" t="s">
        <v>276</v>
      </c>
      <c r="D37" s="25" t="s">
        <v>522</v>
      </c>
      <c r="E37" s="25" t="s">
        <v>753</v>
      </c>
      <c r="F37" s="47">
        <v>20</v>
      </c>
      <c r="G37" s="26">
        <f>'Smluvní ceník'!G37</f>
        <v>0</v>
      </c>
      <c r="H37" s="26">
        <f t="shared" si="24"/>
        <v>0</v>
      </c>
      <c r="I37" s="26">
        <f t="shared" si="25"/>
        <v>0</v>
      </c>
      <c r="J37" s="26">
        <f t="shared" si="26"/>
        <v>0</v>
      </c>
      <c r="K37" s="26">
        <v>0.01638</v>
      </c>
      <c r="L37" s="26">
        <f t="shared" si="27"/>
        <v>0.3276</v>
      </c>
      <c r="Y37" s="27">
        <f t="shared" si="28"/>
        <v>0</v>
      </c>
      <c r="AA37" s="27">
        <f t="shared" si="29"/>
        <v>0</v>
      </c>
      <c r="AB37" s="27">
        <f t="shared" si="30"/>
        <v>0</v>
      </c>
      <c r="AC37" s="27">
        <f t="shared" si="31"/>
        <v>0</v>
      </c>
      <c r="AD37" s="27">
        <f t="shared" si="32"/>
        <v>0</v>
      </c>
      <c r="AE37" s="27">
        <f t="shared" si="33"/>
        <v>0</v>
      </c>
      <c r="AF37" s="27">
        <f t="shared" si="34"/>
        <v>0</v>
      </c>
      <c r="AG37" s="27">
        <f t="shared" si="35"/>
        <v>0</v>
      </c>
      <c r="AH37" s="17"/>
      <c r="AI37" s="26">
        <f t="shared" si="36"/>
        <v>0</v>
      </c>
      <c r="AJ37" s="26">
        <f t="shared" si="37"/>
        <v>0</v>
      </c>
      <c r="AK37" s="26">
        <f t="shared" si="38"/>
        <v>0</v>
      </c>
      <c r="AM37" s="27">
        <v>21</v>
      </c>
      <c r="AN37" s="27">
        <f t="shared" si="39"/>
        <v>0</v>
      </c>
      <c r="AO37" s="27">
        <f t="shared" si="40"/>
        <v>0</v>
      </c>
      <c r="AP37" s="28" t="s">
        <v>13</v>
      </c>
      <c r="AU37" s="27">
        <f t="shared" si="41"/>
        <v>0</v>
      </c>
      <c r="AV37" s="27">
        <f t="shared" si="42"/>
        <v>0</v>
      </c>
      <c r="AW37" s="27">
        <f t="shared" si="43"/>
        <v>0</v>
      </c>
      <c r="AX37" s="29" t="s">
        <v>785</v>
      </c>
      <c r="AY37" s="29" t="s">
        <v>793</v>
      </c>
      <c r="AZ37" s="17" t="s">
        <v>796</v>
      </c>
      <c r="BB37" s="27">
        <f t="shared" si="44"/>
        <v>0</v>
      </c>
      <c r="BC37" s="27">
        <f t="shared" si="45"/>
        <v>0</v>
      </c>
      <c r="BD37" s="27">
        <v>0</v>
      </c>
      <c r="BE37" s="27">
        <f t="shared" si="46"/>
        <v>0.3276</v>
      </c>
      <c r="BG37" s="26">
        <f t="shared" si="47"/>
        <v>0</v>
      </c>
      <c r="BH37" s="26">
        <f t="shared" si="48"/>
        <v>0</v>
      </c>
      <c r="BI37" s="26">
        <f t="shared" si="49"/>
        <v>0</v>
      </c>
    </row>
    <row r="38" spans="1:61" ht="12.75">
      <c r="A38" s="24" t="s">
        <v>30</v>
      </c>
      <c r="B38" s="25"/>
      <c r="C38" s="25" t="s">
        <v>277</v>
      </c>
      <c r="D38" s="25" t="s">
        <v>523</v>
      </c>
      <c r="E38" s="25" t="s">
        <v>753</v>
      </c>
      <c r="F38" s="47">
        <v>15</v>
      </c>
      <c r="G38" s="26">
        <f>'Smluvní ceník'!G38</f>
        <v>0</v>
      </c>
      <c r="H38" s="26">
        <f t="shared" si="24"/>
        <v>0</v>
      </c>
      <c r="I38" s="26">
        <f t="shared" si="25"/>
        <v>0</v>
      </c>
      <c r="J38" s="26">
        <f t="shared" si="26"/>
        <v>0</v>
      </c>
      <c r="K38" s="26">
        <v>0.01638</v>
      </c>
      <c r="L38" s="26">
        <f t="shared" si="27"/>
        <v>0.24569999999999997</v>
      </c>
      <c r="Y38" s="27">
        <f t="shared" si="28"/>
        <v>0</v>
      </c>
      <c r="AA38" s="27">
        <f t="shared" si="29"/>
        <v>0</v>
      </c>
      <c r="AB38" s="27">
        <f t="shared" si="30"/>
        <v>0</v>
      </c>
      <c r="AC38" s="27">
        <f t="shared" si="31"/>
        <v>0</v>
      </c>
      <c r="AD38" s="27">
        <f t="shared" si="32"/>
        <v>0</v>
      </c>
      <c r="AE38" s="27">
        <f t="shared" si="33"/>
        <v>0</v>
      </c>
      <c r="AF38" s="27">
        <f t="shared" si="34"/>
        <v>0</v>
      </c>
      <c r="AG38" s="27">
        <f t="shared" si="35"/>
        <v>0</v>
      </c>
      <c r="AH38" s="17"/>
      <c r="AI38" s="26">
        <f t="shared" si="36"/>
        <v>0</v>
      </c>
      <c r="AJ38" s="26">
        <f t="shared" si="37"/>
        <v>0</v>
      </c>
      <c r="AK38" s="26">
        <f t="shared" si="38"/>
        <v>0</v>
      </c>
      <c r="AM38" s="27">
        <v>21</v>
      </c>
      <c r="AN38" s="27">
        <f t="shared" si="39"/>
        <v>0</v>
      </c>
      <c r="AO38" s="27">
        <f t="shared" si="40"/>
        <v>0</v>
      </c>
      <c r="AP38" s="28" t="s">
        <v>13</v>
      </c>
      <c r="AU38" s="27">
        <f t="shared" si="41"/>
        <v>0</v>
      </c>
      <c r="AV38" s="27">
        <f t="shared" si="42"/>
        <v>0</v>
      </c>
      <c r="AW38" s="27">
        <f t="shared" si="43"/>
        <v>0</v>
      </c>
      <c r="AX38" s="29" t="s">
        <v>785</v>
      </c>
      <c r="AY38" s="29" t="s">
        <v>793</v>
      </c>
      <c r="AZ38" s="17" t="s">
        <v>796</v>
      </c>
      <c r="BB38" s="27">
        <f t="shared" si="44"/>
        <v>0</v>
      </c>
      <c r="BC38" s="27">
        <f t="shared" si="45"/>
        <v>0</v>
      </c>
      <c r="BD38" s="27">
        <v>0</v>
      </c>
      <c r="BE38" s="27">
        <f t="shared" si="46"/>
        <v>0.24569999999999997</v>
      </c>
      <c r="BG38" s="26">
        <f t="shared" si="47"/>
        <v>0</v>
      </c>
      <c r="BH38" s="26">
        <f t="shared" si="48"/>
        <v>0</v>
      </c>
      <c r="BI38" s="26">
        <f t="shared" si="49"/>
        <v>0</v>
      </c>
    </row>
    <row r="39" spans="1:61" ht="12.75">
      <c r="A39" s="24" t="s">
        <v>31</v>
      </c>
      <c r="B39" s="25"/>
      <c r="C39" s="25" t="s">
        <v>278</v>
      </c>
      <c r="D39" s="25" t="s">
        <v>524</v>
      </c>
      <c r="E39" s="25" t="s">
        <v>753</v>
      </c>
      <c r="F39" s="47">
        <v>150</v>
      </c>
      <c r="G39" s="26">
        <f>'Smluvní ceník'!G39</f>
        <v>0</v>
      </c>
      <c r="H39" s="26">
        <f t="shared" si="24"/>
        <v>0</v>
      </c>
      <c r="I39" s="26">
        <f t="shared" si="25"/>
        <v>0</v>
      </c>
      <c r="J39" s="26">
        <f t="shared" si="26"/>
        <v>0</v>
      </c>
      <c r="K39" s="26">
        <v>0.01638</v>
      </c>
      <c r="L39" s="26">
        <f t="shared" si="27"/>
        <v>2.457</v>
      </c>
      <c r="Y39" s="27">
        <f t="shared" si="28"/>
        <v>0</v>
      </c>
      <c r="AA39" s="27">
        <f t="shared" si="29"/>
        <v>0</v>
      </c>
      <c r="AB39" s="27">
        <f t="shared" si="30"/>
        <v>0</v>
      </c>
      <c r="AC39" s="27">
        <f t="shared" si="31"/>
        <v>0</v>
      </c>
      <c r="AD39" s="27">
        <f t="shared" si="32"/>
        <v>0</v>
      </c>
      <c r="AE39" s="27">
        <f t="shared" si="33"/>
        <v>0</v>
      </c>
      <c r="AF39" s="27">
        <f t="shared" si="34"/>
        <v>0</v>
      </c>
      <c r="AG39" s="27">
        <f t="shared" si="35"/>
        <v>0</v>
      </c>
      <c r="AH39" s="17"/>
      <c r="AI39" s="26">
        <f t="shared" si="36"/>
        <v>0</v>
      </c>
      <c r="AJ39" s="26">
        <f t="shared" si="37"/>
        <v>0</v>
      </c>
      <c r="AK39" s="26">
        <f t="shared" si="38"/>
        <v>0</v>
      </c>
      <c r="AM39" s="27">
        <v>21</v>
      </c>
      <c r="AN39" s="27">
        <f t="shared" si="39"/>
        <v>0</v>
      </c>
      <c r="AO39" s="27">
        <f t="shared" si="40"/>
        <v>0</v>
      </c>
      <c r="AP39" s="28" t="s">
        <v>13</v>
      </c>
      <c r="AU39" s="27">
        <f t="shared" si="41"/>
        <v>0</v>
      </c>
      <c r="AV39" s="27">
        <f t="shared" si="42"/>
        <v>0</v>
      </c>
      <c r="AW39" s="27">
        <f t="shared" si="43"/>
        <v>0</v>
      </c>
      <c r="AX39" s="29" t="s">
        <v>785</v>
      </c>
      <c r="AY39" s="29" t="s">
        <v>793</v>
      </c>
      <c r="AZ39" s="17" t="s">
        <v>796</v>
      </c>
      <c r="BB39" s="27">
        <f t="shared" si="44"/>
        <v>0</v>
      </c>
      <c r="BC39" s="27">
        <f t="shared" si="45"/>
        <v>0</v>
      </c>
      <c r="BD39" s="27">
        <v>0</v>
      </c>
      <c r="BE39" s="27">
        <f t="shared" si="46"/>
        <v>2.457</v>
      </c>
      <c r="BG39" s="26">
        <f t="shared" si="47"/>
        <v>0</v>
      </c>
      <c r="BH39" s="26">
        <f t="shared" si="48"/>
        <v>0</v>
      </c>
      <c r="BI39" s="26">
        <f t="shared" si="49"/>
        <v>0</v>
      </c>
    </row>
    <row r="40" spans="1:61" ht="12.75">
      <c r="A40" s="24" t="s">
        <v>32</v>
      </c>
      <c r="B40" s="25"/>
      <c r="C40" s="25" t="s">
        <v>279</v>
      </c>
      <c r="D40" s="25" t="s">
        <v>525</v>
      </c>
      <c r="E40" s="25" t="s">
        <v>753</v>
      </c>
      <c r="F40" s="47">
        <v>20</v>
      </c>
      <c r="G40" s="26">
        <f>'Smluvní ceník'!G40</f>
        <v>0</v>
      </c>
      <c r="H40" s="26">
        <f t="shared" si="24"/>
        <v>0</v>
      </c>
      <c r="I40" s="26">
        <f t="shared" si="25"/>
        <v>0</v>
      </c>
      <c r="J40" s="26">
        <f t="shared" si="26"/>
        <v>0</v>
      </c>
      <c r="K40" s="26">
        <v>0.01638</v>
      </c>
      <c r="L40" s="26">
        <f t="shared" si="27"/>
        <v>0.3276</v>
      </c>
      <c r="Y40" s="27">
        <f t="shared" si="28"/>
        <v>0</v>
      </c>
      <c r="AA40" s="27">
        <f t="shared" si="29"/>
        <v>0</v>
      </c>
      <c r="AB40" s="27">
        <f t="shared" si="30"/>
        <v>0</v>
      </c>
      <c r="AC40" s="27">
        <f t="shared" si="31"/>
        <v>0</v>
      </c>
      <c r="AD40" s="27">
        <f t="shared" si="32"/>
        <v>0</v>
      </c>
      <c r="AE40" s="27">
        <f t="shared" si="33"/>
        <v>0</v>
      </c>
      <c r="AF40" s="27">
        <f t="shared" si="34"/>
        <v>0</v>
      </c>
      <c r="AG40" s="27">
        <f t="shared" si="35"/>
        <v>0</v>
      </c>
      <c r="AH40" s="17"/>
      <c r="AI40" s="26">
        <f t="shared" si="36"/>
        <v>0</v>
      </c>
      <c r="AJ40" s="26">
        <f t="shared" si="37"/>
        <v>0</v>
      </c>
      <c r="AK40" s="26">
        <f t="shared" si="38"/>
        <v>0</v>
      </c>
      <c r="AM40" s="27">
        <v>21</v>
      </c>
      <c r="AN40" s="27">
        <f t="shared" si="39"/>
        <v>0</v>
      </c>
      <c r="AO40" s="27">
        <f t="shared" si="40"/>
        <v>0</v>
      </c>
      <c r="AP40" s="28" t="s">
        <v>13</v>
      </c>
      <c r="AU40" s="27">
        <f t="shared" si="41"/>
        <v>0</v>
      </c>
      <c r="AV40" s="27">
        <f t="shared" si="42"/>
        <v>0</v>
      </c>
      <c r="AW40" s="27">
        <f t="shared" si="43"/>
        <v>0</v>
      </c>
      <c r="AX40" s="29" t="s">
        <v>785</v>
      </c>
      <c r="AY40" s="29" t="s">
        <v>793</v>
      </c>
      <c r="AZ40" s="17" t="s">
        <v>796</v>
      </c>
      <c r="BB40" s="27">
        <f t="shared" si="44"/>
        <v>0</v>
      </c>
      <c r="BC40" s="27">
        <f t="shared" si="45"/>
        <v>0</v>
      </c>
      <c r="BD40" s="27">
        <v>0</v>
      </c>
      <c r="BE40" s="27">
        <f t="shared" si="46"/>
        <v>0.3276</v>
      </c>
      <c r="BG40" s="26">
        <f t="shared" si="47"/>
        <v>0</v>
      </c>
      <c r="BH40" s="26">
        <f t="shared" si="48"/>
        <v>0</v>
      </c>
      <c r="BI40" s="26">
        <f t="shared" si="49"/>
        <v>0</v>
      </c>
    </row>
    <row r="41" spans="1:61" ht="12.75">
      <c r="A41" s="24" t="s">
        <v>33</v>
      </c>
      <c r="B41" s="25"/>
      <c r="C41" s="25" t="s">
        <v>280</v>
      </c>
      <c r="D41" s="25" t="s">
        <v>526</v>
      </c>
      <c r="E41" s="25" t="s">
        <v>753</v>
      </c>
      <c r="F41" s="47">
        <v>15</v>
      </c>
      <c r="G41" s="26">
        <f>'Smluvní ceník'!G41</f>
        <v>0</v>
      </c>
      <c r="H41" s="26">
        <f t="shared" si="24"/>
        <v>0</v>
      </c>
      <c r="I41" s="26">
        <f t="shared" si="25"/>
        <v>0</v>
      </c>
      <c r="J41" s="26">
        <f t="shared" si="26"/>
        <v>0</v>
      </c>
      <c r="K41" s="26">
        <v>0.01638</v>
      </c>
      <c r="L41" s="26">
        <f t="shared" si="27"/>
        <v>0.24569999999999997</v>
      </c>
      <c r="Y41" s="27">
        <f t="shared" si="28"/>
        <v>0</v>
      </c>
      <c r="AA41" s="27">
        <f t="shared" si="29"/>
        <v>0</v>
      </c>
      <c r="AB41" s="27">
        <f t="shared" si="30"/>
        <v>0</v>
      </c>
      <c r="AC41" s="27">
        <f t="shared" si="31"/>
        <v>0</v>
      </c>
      <c r="AD41" s="27">
        <f t="shared" si="32"/>
        <v>0</v>
      </c>
      <c r="AE41" s="27">
        <f t="shared" si="33"/>
        <v>0</v>
      </c>
      <c r="AF41" s="27">
        <f t="shared" si="34"/>
        <v>0</v>
      </c>
      <c r="AG41" s="27">
        <f t="shared" si="35"/>
        <v>0</v>
      </c>
      <c r="AH41" s="17"/>
      <c r="AI41" s="26">
        <f t="shared" si="36"/>
        <v>0</v>
      </c>
      <c r="AJ41" s="26">
        <f t="shared" si="37"/>
        <v>0</v>
      </c>
      <c r="AK41" s="26">
        <f t="shared" si="38"/>
        <v>0</v>
      </c>
      <c r="AM41" s="27">
        <v>21</v>
      </c>
      <c r="AN41" s="27">
        <f t="shared" si="39"/>
        <v>0</v>
      </c>
      <c r="AO41" s="27">
        <f t="shared" si="40"/>
        <v>0</v>
      </c>
      <c r="AP41" s="28" t="s">
        <v>13</v>
      </c>
      <c r="AU41" s="27">
        <f t="shared" si="41"/>
        <v>0</v>
      </c>
      <c r="AV41" s="27">
        <f t="shared" si="42"/>
        <v>0</v>
      </c>
      <c r="AW41" s="27">
        <f t="shared" si="43"/>
        <v>0</v>
      </c>
      <c r="AX41" s="29" t="s">
        <v>785</v>
      </c>
      <c r="AY41" s="29" t="s">
        <v>793</v>
      </c>
      <c r="AZ41" s="17" t="s">
        <v>796</v>
      </c>
      <c r="BB41" s="27">
        <f t="shared" si="44"/>
        <v>0</v>
      </c>
      <c r="BC41" s="27">
        <f t="shared" si="45"/>
        <v>0</v>
      </c>
      <c r="BD41" s="27">
        <v>0</v>
      </c>
      <c r="BE41" s="27">
        <f t="shared" si="46"/>
        <v>0.24569999999999997</v>
      </c>
      <c r="BG41" s="26">
        <f t="shared" si="47"/>
        <v>0</v>
      </c>
      <c r="BH41" s="26">
        <f t="shared" si="48"/>
        <v>0</v>
      </c>
      <c r="BI41" s="26">
        <f t="shared" si="49"/>
        <v>0</v>
      </c>
    </row>
    <row r="42" spans="1:61" ht="12.75">
      <c r="A42" s="34" t="s">
        <v>34</v>
      </c>
      <c r="B42" s="35"/>
      <c r="C42" s="35" t="s">
        <v>281</v>
      </c>
      <c r="D42" s="35" t="s">
        <v>527</v>
      </c>
      <c r="E42" s="35" t="s">
        <v>750</v>
      </c>
      <c r="F42" s="48">
        <v>150</v>
      </c>
      <c r="G42" s="26">
        <f>'Smluvní ceník'!G42</f>
        <v>0</v>
      </c>
      <c r="H42" s="36">
        <f t="shared" si="24"/>
        <v>0</v>
      </c>
      <c r="I42" s="36">
        <f t="shared" si="25"/>
        <v>0</v>
      </c>
      <c r="J42" s="36">
        <f t="shared" si="26"/>
        <v>0</v>
      </c>
      <c r="K42" s="36">
        <v>0.02</v>
      </c>
      <c r="L42" s="36">
        <f t="shared" si="27"/>
        <v>3</v>
      </c>
      <c r="Y42" s="27">
        <f t="shared" si="28"/>
        <v>0</v>
      </c>
      <c r="AA42" s="27">
        <f t="shared" si="29"/>
        <v>0</v>
      </c>
      <c r="AB42" s="27">
        <f t="shared" si="30"/>
        <v>0</v>
      </c>
      <c r="AC42" s="27">
        <f t="shared" si="31"/>
        <v>0</v>
      </c>
      <c r="AD42" s="27">
        <f t="shared" si="32"/>
        <v>0</v>
      </c>
      <c r="AE42" s="27">
        <f t="shared" si="33"/>
        <v>0</v>
      </c>
      <c r="AF42" s="27">
        <f t="shared" si="34"/>
        <v>0</v>
      </c>
      <c r="AG42" s="27">
        <f t="shared" si="35"/>
        <v>0</v>
      </c>
      <c r="AH42" s="17"/>
      <c r="AI42" s="36">
        <f t="shared" si="36"/>
        <v>0</v>
      </c>
      <c r="AJ42" s="36">
        <f t="shared" si="37"/>
        <v>0</v>
      </c>
      <c r="AK42" s="36">
        <f t="shared" si="38"/>
        <v>0</v>
      </c>
      <c r="AM42" s="27">
        <v>21</v>
      </c>
      <c r="AN42" s="27">
        <f>G42*1</f>
        <v>0</v>
      </c>
      <c r="AO42" s="27">
        <f>G42*(1-1)</f>
        <v>0</v>
      </c>
      <c r="AP42" s="37" t="s">
        <v>13</v>
      </c>
      <c r="AU42" s="27">
        <f t="shared" si="41"/>
        <v>0</v>
      </c>
      <c r="AV42" s="27">
        <f t="shared" si="42"/>
        <v>0</v>
      </c>
      <c r="AW42" s="27">
        <f t="shared" si="43"/>
        <v>0</v>
      </c>
      <c r="AX42" s="29" t="s">
        <v>785</v>
      </c>
      <c r="AY42" s="29" t="s">
        <v>793</v>
      </c>
      <c r="AZ42" s="17" t="s">
        <v>796</v>
      </c>
      <c r="BB42" s="27">
        <f t="shared" si="44"/>
        <v>0</v>
      </c>
      <c r="BC42" s="27">
        <f t="shared" si="45"/>
        <v>0</v>
      </c>
      <c r="BD42" s="27">
        <v>0</v>
      </c>
      <c r="BE42" s="27">
        <f t="shared" si="46"/>
        <v>3</v>
      </c>
      <c r="BG42" s="36">
        <f t="shared" si="47"/>
        <v>0</v>
      </c>
      <c r="BH42" s="36">
        <f t="shared" si="48"/>
        <v>0</v>
      </c>
      <c r="BI42" s="36">
        <f t="shared" si="49"/>
        <v>0</v>
      </c>
    </row>
    <row r="43" spans="1:61" ht="12.75">
      <c r="A43" s="24" t="s">
        <v>35</v>
      </c>
      <c r="B43" s="25"/>
      <c r="C43" s="25" t="s">
        <v>282</v>
      </c>
      <c r="D43" s="25" t="s">
        <v>528</v>
      </c>
      <c r="E43" s="25" t="s">
        <v>750</v>
      </c>
      <c r="F43" s="47">
        <v>150</v>
      </c>
      <c r="G43" s="26">
        <f>'Smluvní ceník'!G43</f>
        <v>0</v>
      </c>
      <c r="H43" s="26">
        <f t="shared" si="24"/>
        <v>0</v>
      </c>
      <c r="I43" s="26">
        <f t="shared" si="25"/>
        <v>0</v>
      </c>
      <c r="J43" s="26">
        <f t="shared" si="26"/>
        <v>0</v>
      </c>
      <c r="K43" s="26">
        <v>0.01638</v>
      </c>
      <c r="L43" s="26">
        <f t="shared" si="27"/>
        <v>2.457</v>
      </c>
      <c r="Y43" s="27">
        <f t="shared" si="28"/>
        <v>0</v>
      </c>
      <c r="AA43" s="27">
        <f t="shared" si="29"/>
        <v>0</v>
      </c>
      <c r="AB43" s="27">
        <f t="shared" si="30"/>
        <v>0</v>
      </c>
      <c r="AC43" s="27">
        <f t="shared" si="31"/>
        <v>0</v>
      </c>
      <c r="AD43" s="27">
        <f t="shared" si="32"/>
        <v>0</v>
      </c>
      <c r="AE43" s="27">
        <f t="shared" si="33"/>
        <v>0</v>
      </c>
      <c r="AF43" s="27">
        <f t="shared" si="34"/>
        <v>0</v>
      </c>
      <c r="AG43" s="27">
        <f t="shared" si="35"/>
        <v>0</v>
      </c>
      <c r="AH43" s="17"/>
      <c r="AI43" s="26">
        <f t="shared" si="36"/>
        <v>0</v>
      </c>
      <c r="AJ43" s="26">
        <f t="shared" si="37"/>
        <v>0</v>
      </c>
      <c r="AK43" s="26">
        <f t="shared" si="38"/>
        <v>0</v>
      </c>
      <c r="AM43" s="27">
        <v>21</v>
      </c>
      <c r="AN43" s="27">
        <f>G43*0.06</f>
        <v>0</v>
      </c>
      <c r="AO43" s="27">
        <f>G43*(1-0.06)</f>
        <v>0</v>
      </c>
      <c r="AP43" s="28" t="s">
        <v>13</v>
      </c>
      <c r="AU43" s="27">
        <f t="shared" si="41"/>
        <v>0</v>
      </c>
      <c r="AV43" s="27">
        <f t="shared" si="42"/>
        <v>0</v>
      </c>
      <c r="AW43" s="27">
        <f t="shared" si="43"/>
        <v>0</v>
      </c>
      <c r="AX43" s="29" t="s">
        <v>785</v>
      </c>
      <c r="AY43" s="29" t="s">
        <v>793</v>
      </c>
      <c r="AZ43" s="17" t="s">
        <v>796</v>
      </c>
      <c r="BB43" s="27">
        <f t="shared" si="44"/>
        <v>0</v>
      </c>
      <c r="BC43" s="27">
        <f t="shared" si="45"/>
        <v>0</v>
      </c>
      <c r="BD43" s="27">
        <v>0</v>
      </c>
      <c r="BE43" s="27">
        <f t="shared" si="46"/>
        <v>2.457</v>
      </c>
      <c r="BG43" s="26">
        <f t="shared" si="47"/>
        <v>0</v>
      </c>
      <c r="BH43" s="26">
        <f t="shared" si="48"/>
        <v>0</v>
      </c>
      <c r="BI43" s="26">
        <f t="shared" si="49"/>
        <v>0</v>
      </c>
    </row>
    <row r="44" spans="4:7" ht="12">
      <c r="D44" s="39" t="s">
        <v>529</v>
      </c>
      <c r="F44" s="49"/>
      <c r="G44" s="26"/>
    </row>
    <row r="45" spans="1:61" ht="12.75">
      <c r="A45" s="24" t="s">
        <v>36</v>
      </c>
      <c r="B45" s="25"/>
      <c r="C45" s="25" t="s">
        <v>283</v>
      </c>
      <c r="D45" s="25" t="s">
        <v>530</v>
      </c>
      <c r="E45" s="25" t="s">
        <v>750</v>
      </c>
      <c r="F45" s="47">
        <v>40</v>
      </c>
      <c r="G45" s="26">
        <f>'Smluvní ceník'!G45</f>
        <v>0</v>
      </c>
      <c r="H45" s="26">
        <f aca="true" t="shared" si="50" ref="H45:H76">F45*AN45</f>
        <v>0</v>
      </c>
      <c r="I45" s="26">
        <f aca="true" t="shared" si="51" ref="I45:I76">F45*AO45</f>
        <v>0</v>
      </c>
      <c r="J45" s="26">
        <f aca="true" t="shared" si="52" ref="J45:J76">F45*G45</f>
        <v>0</v>
      </c>
      <c r="K45" s="26">
        <v>0.00028</v>
      </c>
      <c r="L45" s="26">
        <f aca="true" t="shared" si="53" ref="L45:L76">F45*K45</f>
        <v>0.011199999999999998</v>
      </c>
      <c r="Y45" s="27">
        <f aca="true" t="shared" si="54" ref="Y45:Y76">IF(AP45="5",BI45,0)</f>
        <v>0</v>
      </c>
      <c r="AA45" s="27">
        <f aca="true" t="shared" si="55" ref="AA45:AA76">IF(AP45="1",BG45,0)</f>
        <v>0</v>
      </c>
      <c r="AB45" s="27">
        <f aca="true" t="shared" si="56" ref="AB45:AB76">IF(AP45="1",BH45,0)</f>
        <v>0</v>
      </c>
      <c r="AC45" s="27">
        <f aca="true" t="shared" si="57" ref="AC45:AC76">IF(AP45="7",BG45,0)</f>
        <v>0</v>
      </c>
      <c r="AD45" s="27">
        <f aca="true" t="shared" si="58" ref="AD45:AD76">IF(AP45="7",BH45,0)</f>
        <v>0</v>
      </c>
      <c r="AE45" s="27">
        <f aca="true" t="shared" si="59" ref="AE45:AE76">IF(AP45="2",BG45,0)</f>
        <v>0</v>
      </c>
      <c r="AF45" s="27">
        <f aca="true" t="shared" si="60" ref="AF45:AF76">IF(AP45="2",BH45,0)</f>
        <v>0</v>
      </c>
      <c r="AG45" s="27">
        <f aca="true" t="shared" si="61" ref="AG45:AG76">IF(AP45="0",BI45,0)</f>
        <v>0</v>
      </c>
      <c r="AH45" s="17"/>
      <c r="AI45" s="26">
        <f aca="true" t="shared" si="62" ref="AI45:AI76">IF(AM45=0,J45,0)</f>
        <v>0</v>
      </c>
      <c r="AJ45" s="26">
        <f aca="true" t="shared" si="63" ref="AJ45:AJ76">IF(AM45=15,J45,0)</f>
        <v>0</v>
      </c>
      <c r="AK45" s="26">
        <f aca="true" t="shared" si="64" ref="AK45:AK76">IF(AM45=21,J45,0)</f>
        <v>0</v>
      </c>
      <c r="AM45" s="27">
        <v>21</v>
      </c>
      <c r="AN45" s="27">
        <f>G45*0.0112627986348123</f>
        <v>0</v>
      </c>
      <c r="AO45" s="27">
        <f>G45*(1-0.0112627986348123)</f>
        <v>0</v>
      </c>
      <c r="AP45" s="28" t="s">
        <v>13</v>
      </c>
      <c r="AU45" s="27">
        <f aca="true" t="shared" si="65" ref="AU45:AU76">AV45+AW45</f>
        <v>0</v>
      </c>
      <c r="AV45" s="27">
        <f aca="true" t="shared" si="66" ref="AV45:AV76">F45*AN45</f>
        <v>0</v>
      </c>
      <c r="AW45" s="27">
        <f aca="true" t="shared" si="67" ref="AW45:AW76">F45*AO45</f>
        <v>0</v>
      </c>
      <c r="AX45" s="29" t="s">
        <v>785</v>
      </c>
      <c r="AY45" s="29" t="s">
        <v>793</v>
      </c>
      <c r="AZ45" s="17" t="s">
        <v>796</v>
      </c>
      <c r="BB45" s="27">
        <f aca="true" t="shared" si="68" ref="BB45:BB76">AV45+AW45</f>
        <v>0</v>
      </c>
      <c r="BC45" s="27">
        <f aca="true" t="shared" si="69" ref="BC45:BC76">G45/(100-BD45)*100</f>
        <v>0</v>
      </c>
      <c r="BD45" s="27">
        <v>0</v>
      </c>
      <c r="BE45" s="27">
        <f aca="true" t="shared" si="70" ref="BE45:BE76">L45</f>
        <v>0.011199999999999998</v>
      </c>
      <c r="BG45" s="26">
        <f aca="true" t="shared" si="71" ref="BG45:BG76">F45*AN45</f>
        <v>0</v>
      </c>
      <c r="BH45" s="26">
        <f aca="true" t="shared" si="72" ref="BH45:BH76">F45*AO45</f>
        <v>0</v>
      </c>
      <c r="BI45" s="26">
        <f aca="true" t="shared" si="73" ref="BI45:BI76">F45*G45</f>
        <v>0</v>
      </c>
    </row>
    <row r="46" spans="1:61" ht="12.75">
      <c r="A46" s="24" t="s">
        <v>37</v>
      </c>
      <c r="B46" s="25"/>
      <c r="C46" s="25" t="s">
        <v>284</v>
      </c>
      <c r="D46" s="25" t="s">
        <v>531</v>
      </c>
      <c r="E46" s="25" t="s">
        <v>750</v>
      </c>
      <c r="F46" s="47">
        <v>30</v>
      </c>
      <c r="G46" s="26">
        <f>'Smluvní ceník'!G46</f>
        <v>0</v>
      </c>
      <c r="H46" s="26">
        <f t="shared" si="50"/>
        <v>0</v>
      </c>
      <c r="I46" s="26">
        <f t="shared" si="51"/>
        <v>0</v>
      </c>
      <c r="J46" s="26">
        <f t="shared" si="52"/>
        <v>0</v>
      </c>
      <c r="K46" s="26">
        <v>0.00028</v>
      </c>
      <c r="L46" s="26">
        <f t="shared" si="53"/>
        <v>0.0084</v>
      </c>
      <c r="Y46" s="27">
        <f t="shared" si="54"/>
        <v>0</v>
      </c>
      <c r="AA46" s="27">
        <f t="shared" si="55"/>
        <v>0</v>
      </c>
      <c r="AB46" s="27">
        <f t="shared" si="56"/>
        <v>0</v>
      </c>
      <c r="AC46" s="27">
        <f t="shared" si="57"/>
        <v>0</v>
      </c>
      <c r="AD46" s="27">
        <f t="shared" si="58"/>
        <v>0</v>
      </c>
      <c r="AE46" s="27">
        <f t="shared" si="59"/>
        <v>0</v>
      </c>
      <c r="AF46" s="27">
        <f t="shared" si="60"/>
        <v>0</v>
      </c>
      <c r="AG46" s="27">
        <f t="shared" si="61"/>
        <v>0</v>
      </c>
      <c r="AH46" s="17"/>
      <c r="AI46" s="26">
        <f t="shared" si="62"/>
        <v>0</v>
      </c>
      <c r="AJ46" s="26">
        <f t="shared" si="63"/>
        <v>0</v>
      </c>
      <c r="AK46" s="26">
        <f t="shared" si="64"/>
        <v>0</v>
      </c>
      <c r="AM46" s="27">
        <v>21</v>
      </c>
      <c r="AN46" s="27">
        <f>G46*0.0045993031358885</f>
        <v>0</v>
      </c>
      <c r="AO46" s="27">
        <f>G46*(1-0.0045993031358885)</f>
        <v>0</v>
      </c>
      <c r="AP46" s="28" t="s">
        <v>13</v>
      </c>
      <c r="AU46" s="27">
        <f t="shared" si="65"/>
        <v>0</v>
      </c>
      <c r="AV46" s="27">
        <f t="shared" si="66"/>
        <v>0</v>
      </c>
      <c r="AW46" s="27">
        <f t="shared" si="67"/>
        <v>0</v>
      </c>
      <c r="AX46" s="29" t="s">
        <v>785</v>
      </c>
      <c r="AY46" s="29" t="s">
        <v>793</v>
      </c>
      <c r="AZ46" s="17" t="s">
        <v>796</v>
      </c>
      <c r="BB46" s="27">
        <f t="shared" si="68"/>
        <v>0</v>
      </c>
      <c r="BC46" s="27">
        <f t="shared" si="69"/>
        <v>0</v>
      </c>
      <c r="BD46" s="27">
        <v>0</v>
      </c>
      <c r="BE46" s="27">
        <f t="shared" si="70"/>
        <v>0.0084</v>
      </c>
      <c r="BG46" s="26">
        <f t="shared" si="71"/>
        <v>0</v>
      </c>
      <c r="BH46" s="26">
        <f t="shared" si="72"/>
        <v>0</v>
      </c>
      <c r="BI46" s="26">
        <f t="shared" si="73"/>
        <v>0</v>
      </c>
    </row>
    <row r="47" spans="1:61" ht="12.75">
      <c r="A47" s="24" t="s">
        <v>38</v>
      </c>
      <c r="B47" s="25"/>
      <c r="C47" s="25" t="s">
        <v>285</v>
      </c>
      <c r="D47" s="25" t="s">
        <v>532</v>
      </c>
      <c r="E47" s="25" t="s">
        <v>750</v>
      </c>
      <c r="F47" s="47">
        <v>10</v>
      </c>
      <c r="G47" s="26">
        <f>'Smluvní ceník'!G47</f>
        <v>0</v>
      </c>
      <c r="H47" s="26">
        <f t="shared" si="50"/>
        <v>0</v>
      </c>
      <c r="I47" s="26">
        <f t="shared" si="51"/>
        <v>0</v>
      </c>
      <c r="J47" s="26">
        <f t="shared" si="52"/>
        <v>0</v>
      </c>
      <c r="K47" s="26">
        <v>0.00028</v>
      </c>
      <c r="L47" s="26">
        <f t="shared" si="53"/>
        <v>0.0027999999999999995</v>
      </c>
      <c r="Y47" s="27">
        <f t="shared" si="54"/>
        <v>0</v>
      </c>
      <c r="AA47" s="27">
        <f t="shared" si="55"/>
        <v>0</v>
      </c>
      <c r="AB47" s="27">
        <f t="shared" si="56"/>
        <v>0</v>
      </c>
      <c r="AC47" s="27">
        <f t="shared" si="57"/>
        <v>0</v>
      </c>
      <c r="AD47" s="27">
        <f t="shared" si="58"/>
        <v>0</v>
      </c>
      <c r="AE47" s="27">
        <f t="shared" si="59"/>
        <v>0</v>
      </c>
      <c r="AF47" s="27">
        <f t="shared" si="60"/>
        <v>0</v>
      </c>
      <c r="AG47" s="27">
        <f t="shared" si="61"/>
        <v>0</v>
      </c>
      <c r="AH47" s="17"/>
      <c r="AI47" s="26">
        <f t="shared" si="62"/>
        <v>0</v>
      </c>
      <c r="AJ47" s="26">
        <f t="shared" si="63"/>
        <v>0</v>
      </c>
      <c r="AK47" s="26">
        <f t="shared" si="64"/>
        <v>0</v>
      </c>
      <c r="AM47" s="27">
        <v>21</v>
      </c>
      <c r="AN47" s="27">
        <f>G47*0.0108194947623809</f>
        <v>0</v>
      </c>
      <c r="AO47" s="27">
        <f>G47*(1-0.0108194947623809)</f>
        <v>0</v>
      </c>
      <c r="AP47" s="28" t="s">
        <v>13</v>
      </c>
      <c r="AU47" s="27">
        <f t="shared" si="65"/>
        <v>0</v>
      </c>
      <c r="AV47" s="27">
        <f t="shared" si="66"/>
        <v>0</v>
      </c>
      <c r="AW47" s="27">
        <f t="shared" si="67"/>
        <v>0</v>
      </c>
      <c r="AX47" s="29" t="s">
        <v>785</v>
      </c>
      <c r="AY47" s="29" t="s">
        <v>793</v>
      </c>
      <c r="AZ47" s="17" t="s">
        <v>796</v>
      </c>
      <c r="BB47" s="27">
        <f t="shared" si="68"/>
        <v>0</v>
      </c>
      <c r="BC47" s="27">
        <f t="shared" si="69"/>
        <v>0</v>
      </c>
      <c r="BD47" s="27">
        <v>0</v>
      </c>
      <c r="BE47" s="27">
        <f t="shared" si="70"/>
        <v>0.0027999999999999995</v>
      </c>
      <c r="BG47" s="26">
        <f t="shared" si="71"/>
        <v>0</v>
      </c>
      <c r="BH47" s="26">
        <f t="shared" si="72"/>
        <v>0</v>
      </c>
      <c r="BI47" s="26">
        <f t="shared" si="73"/>
        <v>0</v>
      </c>
    </row>
    <row r="48" spans="1:61" ht="12.75">
      <c r="A48" s="24" t="s">
        <v>39</v>
      </c>
      <c r="B48" s="25"/>
      <c r="C48" s="25" t="s">
        <v>286</v>
      </c>
      <c r="D48" s="25" t="s">
        <v>533</v>
      </c>
      <c r="E48" s="25" t="s">
        <v>750</v>
      </c>
      <c r="F48" s="47">
        <v>10</v>
      </c>
      <c r="G48" s="26">
        <f>'Smluvní ceník'!G48</f>
        <v>0</v>
      </c>
      <c r="H48" s="26">
        <f t="shared" si="50"/>
        <v>0</v>
      </c>
      <c r="I48" s="26">
        <f t="shared" si="51"/>
        <v>0</v>
      </c>
      <c r="J48" s="26">
        <f t="shared" si="52"/>
        <v>0</v>
      </c>
      <c r="K48" s="26">
        <v>0.00028</v>
      </c>
      <c r="L48" s="26">
        <f t="shared" si="53"/>
        <v>0.0027999999999999995</v>
      </c>
      <c r="Y48" s="27">
        <f t="shared" si="54"/>
        <v>0</v>
      </c>
      <c r="AA48" s="27">
        <f t="shared" si="55"/>
        <v>0</v>
      </c>
      <c r="AB48" s="27">
        <f t="shared" si="56"/>
        <v>0</v>
      </c>
      <c r="AC48" s="27">
        <f t="shared" si="57"/>
        <v>0</v>
      </c>
      <c r="AD48" s="27">
        <f t="shared" si="58"/>
        <v>0</v>
      </c>
      <c r="AE48" s="27">
        <f t="shared" si="59"/>
        <v>0</v>
      </c>
      <c r="AF48" s="27">
        <f t="shared" si="60"/>
        <v>0</v>
      </c>
      <c r="AG48" s="27">
        <f t="shared" si="61"/>
        <v>0</v>
      </c>
      <c r="AH48" s="17"/>
      <c r="AI48" s="26">
        <f t="shared" si="62"/>
        <v>0</v>
      </c>
      <c r="AJ48" s="26">
        <f t="shared" si="63"/>
        <v>0</v>
      </c>
      <c r="AK48" s="26">
        <f t="shared" si="64"/>
        <v>0</v>
      </c>
      <c r="AM48" s="27">
        <v>21</v>
      </c>
      <c r="AN48" s="27">
        <f>G48*0.00467091295116773</f>
        <v>0</v>
      </c>
      <c r="AO48" s="27">
        <f>G48*(1-0.00467091295116773)</f>
        <v>0</v>
      </c>
      <c r="AP48" s="28" t="s">
        <v>13</v>
      </c>
      <c r="AU48" s="27">
        <f t="shared" si="65"/>
        <v>0</v>
      </c>
      <c r="AV48" s="27">
        <f t="shared" si="66"/>
        <v>0</v>
      </c>
      <c r="AW48" s="27">
        <f t="shared" si="67"/>
        <v>0</v>
      </c>
      <c r="AX48" s="29" t="s">
        <v>785</v>
      </c>
      <c r="AY48" s="29" t="s">
        <v>793</v>
      </c>
      <c r="AZ48" s="17" t="s">
        <v>796</v>
      </c>
      <c r="BB48" s="27">
        <f t="shared" si="68"/>
        <v>0</v>
      </c>
      <c r="BC48" s="27">
        <f t="shared" si="69"/>
        <v>0</v>
      </c>
      <c r="BD48" s="27">
        <v>0</v>
      </c>
      <c r="BE48" s="27">
        <f t="shared" si="70"/>
        <v>0.0027999999999999995</v>
      </c>
      <c r="BG48" s="26">
        <f t="shared" si="71"/>
        <v>0</v>
      </c>
      <c r="BH48" s="26">
        <f t="shared" si="72"/>
        <v>0</v>
      </c>
      <c r="BI48" s="26">
        <f t="shared" si="73"/>
        <v>0</v>
      </c>
    </row>
    <row r="49" spans="1:61" ht="12.75">
      <c r="A49" s="24" t="s">
        <v>40</v>
      </c>
      <c r="B49" s="25"/>
      <c r="C49" s="25" t="s">
        <v>287</v>
      </c>
      <c r="D49" s="25" t="s">
        <v>534</v>
      </c>
      <c r="E49" s="25" t="s">
        <v>750</v>
      </c>
      <c r="F49" s="47">
        <v>4</v>
      </c>
      <c r="G49" s="26">
        <f>'Smluvní ceník'!G49</f>
        <v>0</v>
      </c>
      <c r="H49" s="26">
        <f t="shared" si="50"/>
        <v>0</v>
      </c>
      <c r="I49" s="26">
        <f t="shared" si="51"/>
        <v>0</v>
      </c>
      <c r="J49" s="26">
        <f t="shared" si="52"/>
        <v>0</v>
      </c>
      <c r="K49" s="26">
        <v>0.01695</v>
      </c>
      <c r="L49" s="26">
        <f t="shared" si="53"/>
        <v>0.0678</v>
      </c>
      <c r="Y49" s="27">
        <f t="shared" si="54"/>
        <v>0</v>
      </c>
      <c r="AA49" s="27">
        <f t="shared" si="55"/>
        <v>0</v>
      </c>
      <c r="AB49" s="27">
        <f t="shared" si="56"/>
        <v>0</v>
      </c>
      <c r="AC49" s="27">
        <f t="shared" si="57"/>
        <v>0</v>
      </c>
      <c r="AD49" s="27">
        <f t="shared" si="58"/>
        <v>0</v>
      </c>
      <c r="AE49" s="27">
        <f t="shared" si="59"/>
        <v>0</v>
      </c>
      <c r="AF49" s="27">
        <f t="shared" si="60"/>
        <v>0</v>
      </c>
      <c r="AG49" s="27">
        <f t="shared" si="61"/>
        <v>0</v>
      </c>
      <c r="AH49" s="17"/>
      <c r="AI49" s="26">
        <f t="shared" si="62"/>
        <v>0</v>
      </c>
      <c r="AJ49" s="26">
        <f t="shared" si="63"/>
        <v>0</v>
      </c>
      <c r="AK49" s="26">
        <f t="shared" si="64"/>
        <v>0</v>
      </c>
      <c r="AM49" s="27">
        <v>21</v>
      </c>
      <c r="AN49" s="27">
        <f>G49*0.8</f>
        <v>0</v>
      </c>
      <c r="AO49" s="27">
        <f>G49*(1-0.8)</f>
        <v>0</v>
      </c>
      <c r="AP49" s="28" t="s">
        <v>13</v>
      </c>
      <c r="AU49" s="27">
        <f t="shared" si="65"/>
        <v>0</v>
      </c>
      <c r="AV49" s="27">
        <f t="shared" si="66"/>
        <v>0</v>
      </c>
      <c r="AW49" s="27">
        <f t="shared" si="67"/>
        <v>0</v>
      </c>
      <c r="AX49" s="29" t="s">
        <v>785</v>
      </c>
      <c r="AY49" s="29" t="s">
        <v>793</v>
      </c>
      <c r="AZ49" s="17" t="s">
        <v>796</v>
      </c>
      <c r="BB49" s="27">
        <f t="shared" si="68"/>
        <v>0</v>
      </c>
      <c r="BC49" s="27">
        <f t="shared" si="69"/>
        <v>0</v>
      </c>
      <c r="BD49" s="27">
        <v>0</v>
      </c>
      <c r="BE49" s="27">
        <f t="shared" si="70"/>
        <v>0.0678</v>
      </c>
      <c r="BG49" s="26">
        <f t="shared" si="71"/>
        <v>0</v>
      </c>
      <c r="BH49" s="26">
        <f t="shared" si="72"/>
        <v>0</v>
      </c>
      <c r="BI49" s="26">
        <f t="shared" si="73"/>
        <v>0</v>
      </c>
    </row>
    <row r="50" spans="1:61" ht="12.75" hidden="1">
      <c r="A50" s="24" t="s">
        <v>41</v>
      </c>
      <c r="B50" s="25"/>
      <c r="C50" s="25" t="s">
        <v>288</v>
      </c>
      <c r="D50" s="25" t="s">
        <v>535</v>
      </c>
      <c r="E50" s="25" t="s">
        <v>753</v>
      </c>
      <c r="F50" s="47">
        <v>0</v>
      </c>
      <c r="G50" s="26">
        <f>'Smluvní ceník'!G50</f>
        <v>0</v>
      </c>
      <c r="H50" s="26">
        <f t="shared" si="50"/>
        <v>0</v>
      </c>
      <c r="I50" s="26">
        <f t="shared" si="51"/>
        <v>0</v>
      </c>
      <c r="J50" s="26">
        <f t="shared" si="52"/>
        <v>0</v>
      </c>
      <c r="K50" s="26">
        <v>0.00042</v>
      </c>
      <c r="L50" s="26">
        <f t="shared" si="53"/>
        <v>0</v>
      </c>
      <c r="Y50" s="27">
        <f t="shared" si="54"/>
        <v>0</v>
      </c>
      <c r="AA50" s="27">
        <f t="shared" si="55"/>
        <v>0</v>
      </c>
      <c r="AB50" s="27">
        <f t="shared" si="56"/>
        <v>0</v>
      </c>
      <c r="AC50" s="27">
        <f t="shared" si="57"/>
        <v>0</v>
      </c>
      <c r="AD50" s="27">
        <f t="shared" si="58"/>
        <v>0</v>
      </c>
      <c r="AE50" s="27">
        <f t="shared" si="59"/>
        <v>0</v>
      </c>
      <c r="AF50" s="27">
        <f t="shared" si="60"/>
        <v>0</v>
      </c>
      <c r="AG50" s="27">
        <f t="shared" si="61"/>
        <v>0</v>
      </c>
      <c r="AH50" s="17"/>
      <c r="AI50" s="26">
        <f t="shared" si="62"/>
        <v>0</v>
      </c>
      <c r="AJ50" s="26">
        <f t="shared" si="63"/>
        <v>0</v>
      </c>
      <c r="AK50" s="26">
        <f t="shared" si="64"/>
        <v>0</v>
      </c>
      <c r="AM50" s="27">
        <v>21</v>
      </c>
      <c r="AN50" s="27">
        <f aca="true" t="shared" si="74" ref="AN50:AN84">G50*0</f>
        <v>0</v>
      </c>
      <c r="AO50" s="27">
        <f aca="true" t="shared" si="75" ref="AO50:AO84">G50*(1-0)</f>
        <v>0</v>
      </c>
      <c r="AP50" s="28" t="s">
        <v>13</v>
      </c>
      <c r="AU50" s="27">
        <f t="shared" si="65"/>
        <v>0</v>
      </c>
      <c r="AV50" s="27">
        <f t="shared" si="66"/>
        <v>0</v>
      </c>
      <c r="AW50" s="27">
        <f t="shared" si="67"/>
        <v>0</v>
      </c>
      <c r="AX50" s="29" t="s">
        <v>785</v>
      </c>
      <c r="AY50" s="29" t="s">
        <v>793</v>
      </c>
      <c r="AZ50" s="17" t="s">
        <v>796</v>
      </c>
      <c r="BB50" s="27">
        <f t="shared" si="68"/>
        <v>0</v>
      </c>
      <c r="BC50" s="27">
        <f t="shared" si="69"/>
        <v>0</v>
      </c>
      <c r="BD50" s="27">
        <v>0</v>
      </c>
      <c r="BE50" s="27">
        <f t="shared" si="70"/>
        <v>0</v>
      </c>
      <c r="BG50" s="26">
        <f t="shared" si="71"/>
        <v>0</v>
      </c>
      <c r="BH50" s="26">
        <f t="shared" si="72"/>
        <v>0</v>
      </c>
      <c r="BI50" s="26">
        <f t="shared" si="73"/>
        <v>0</v>
      </c>
    </row>
    <row r="51" spans="1:61" ht="12.75" hidden="1">
      <c r="A51" s="24" t="s">
        <v>42</v>
      </c>
      <c r="B51" s="25"/>
      <c r="C51" s="25" t="s">
        <v>289</v>
      </c>
      <c r="D51" s="25" t="s">
        <v>536</v>
      </c>
      <c r="E51" s="25" t="s">
        <v>753</v>
      </c>
      <c r="F51" s="47">
        <v>0</v>
      </c>
      <c r="G51" s="26">
        <f>'Smluvní ceník'!G51</f>
        <v>0</v>
      </c>
      <c r="H51" s="26">
        <f t="shared" si="50"/>
        <v>0</v>
      </c>
      <c r="I51" s="26">
        <f t="shared" si="51"/>
        <v>0</v>
      </c>
      <c r="J51" s="26">
        <f t="shared" si="52"/>
        <v>0</v>
      </c>
      <c r="K51" s="26">
        <v>0.004</v>
      </c>
      <c r="L51" s="26">
        <f t="shared" si="53"/>
        <v>0</v>
      </c>
      <c r="Y51" s="27">
        <f t="shared" si="54"/>
        <v>0</v>
      </c>
      <c r="AA51" s="27">
        <f t="shared" si="55"/>
        <v>0</v>
      </c>
      <c r="AB51" s="27">
        <f t="shared" si="56"/>
        <v>0</v>
      </c>
      <c r="AC51" s="27">
        <f t="shared" si="57"/>
        <v>0</v>
      </c>
      <c r="AD51" s="27">
        <f t="shared" si="58"/>
        <v>0</v>
      </c>
      <c r="AE51" s="27">
        <f t="shared" si="59"/>
        <v>0</v>
      </c>
      <c r="AF51" s="27">
        <f t="shared" si="60"/>
        <v>0</v>
      </c>
      <c r="AG51" s="27">
        <f t="shared" si="61"/>
        <v>0</v>
      </c>
      <c r="AH51" s="17"/>
      <c r="AI51" s="26">
        <f t="shared" si="62"/>
        <v>0</v>
      </c>
      <c r="AJ51" s="26">
        <f t="shared" si="63"/>
        <v>0</v>
      </c>
      <c r="AK51" s="26">
        <f t="shared" si="64"/>
        <v>0</v>
      </c>
      <c r="AM51" s="27">
        <v>21</v>
      </c>
      <c r="AN51" s="27">
        <f t="shared" si="74"/>
        <v>0</v>
      </c>
      <c r="AO51" s="27">
        <f t="shared" si="75"/>
        <v>0</v>
      </c>
      <c r="AP51" s="28" t="s">
        <v>13</v>
      </c>
      <c r="AU51" s="27">
        <f t="shared" si="65"/>
        <v>0</v>
      </c>
      <c r="AV51" s="27">
        <f t="shared" si="66"/>
        <v>0</v>
      </c>
      <c r="AW51" s="27">
        <f t="shared" si="67"/>
        <v>0</v>
      </c>
      <c r="AX51" s="29" t="s">
        <v>785</v>
      </c>
      <c r="AY51" s="29" t="s">
        <v>793</v>
      </c>
      <c r="AZ51" s="17" t="s">
        <v>796</v>
      </c>
      <c r="BB51" s="27">
        <f t="shared" si="68"/>
        <v>0</v>
      </c>
      <c r="BC51" s="27">
        <f t="shared" si="69"/>
        <v>0</v>
      </c>
      <c r="BD51" s="27">
        <v>0</v>
      </c>
      <c r="BE51" s="27">
        <f t="shared" si="70"/>
        <v>0</v>
      </c>
      <c r="BG51" s="26">
        <f t="shared" si="71"/>
        <v>0</v>
      </c>
      <c r="BH51" s="26">
        <f t="shared" si="72"/>
        <v>0</v>
      </c>
      <c r="BI51" s="26">
        <f t="shared" si="73"/>
        <v>0</v>
      </c>
    </row>
    <row r="52" spans="1:61" ht="12.75" hidden="1">
      <c r="A52" s="24" t="s">
        <v>43</v>
      </c>
      <c r="B52" s="25"/>
      <c r="C52" s="25" t="s">
        <v>290</v>
      </c>
      <c r="D52" s="25" t="s">
        <v>537</v>
      </c>
      <c r="E52" s="25" t="s">
        <v>753</v>
      </c>
      <c r="F52" s="47">
        <v>0</v>
      </c>
      <c r="G52" s="26">
        <f>'Smluvní ceník'!G52</f>
        <v>0</v>
      </c>
      <c r="H52" s="26">
        <f t="shared" si="50"/>
        <v>0</v>
      </c>
      <c r="I52" s="26">
        <f t="shared" si="51"/>
        <v>0</v>
      </c>
      <c r="J52" s="26">
        <f t="shared" si="52"/>
        <v>0</v>
      </c>
      <c r="K52" s="26">
        <v>0.00026</v>
      </c>
      <c r="L52" s="26">
        <f t="shared" si="53"/>
        <v>0</v>
      </c>
      <c r="Y52" s="27">
        <f t="shared" si="54"/>
        <v>0</v>
      </c>
      <c r="AA52" s="27">
        <f t="shared" si="55"/>
        <v>0</v>
      </c>
      <c r="AB52" s="27">
        <f t="shared" si="56"/>
        <v>0</v>
      </c>
      <c r="AC52" s="27">
        <f t="shared" si="57"/>
        <v>0</v>
      </c>
      <c r="AD52" s="27">
        <f t="shared" si="58"/>
        <v>0</v>
      </c>
      <c r="AE52" s="27">
        <f t="shared" si="59"/>
        <v>0</v>
      </c>
      <c r="AF52" s="27">
        <f t="shared" si="60"/>
        <v>0</v>
      </c>
      <c r="AG52" s="27">
        <f t="shared" si="61"/>
        <v>0</v>
      </c>
      <c r="AH52" s="17"/>
      <c r="AI52" s="26">
        <f t="shared" si="62"/>
        <v>0</v>
      </c>
      <c r="AJ52" s="26">
        <f t="shared" si="63"/>
        <v>0</v>
      </c>
      <c r="AK52" s="26">
        <f t="shared" si="64"/>
        <v>0</v>
      </c>
      <c r="AM52" s="27">
        <v>21</v>
      </c>
      <c r="AN52" s="27">
        <f t="shared" si="74"/>
        <v>0</v>
      </c>
      <c r="AO52" s="27">
        <f t="shared" si="75"/>
        <v>0</v>
      </c>
      <c r="AP52" s="28" t="s">
        <v>13</v>
      </c>
      <c r="AU52" s="27">
        <f t="shared" si="65"/>
        <v>0</v>
      </c>
      <c r="AV52" s="27">
        <f t="shared" si="66"/>
        <v>0</v>
      </c>
      <c r="AW52" s="27">
        <f t="shared" si="67"/>
        <v>0</v>
      </c>
      <c r="AX52" s="29" t="s">
        <v>785</v>
      </c>
      <c r="AY52" s="29" t="s">
        <v>793</v>
      </c>
      <c r="AZ52" s="17" t="s">
        <v>796</v>
      </c>
      <c r="BB52" s="27">
        <f t="shared" si="68"/>
        <v>0</v>
      </c>
      <c r="BC52" s="27">
        <f t="shared" si="69"/>
        <v>0</v>
      </c>
      <c r="BD52" s="27">
        <v>0</v>
      </c>
      <c r="BE52" s="27">
        <f t="shared" si="70"/>
        <v>0</v>
      </c>
      <c r="BG52" s="26">
        <f t="shared" si="71"/>
        <v>0</v>
      </c>
      <c r="BH52" s="26">
        <f t="shared" si="72"/>
        <v>0</v>
      </c>
      <c r="BI52" s="26">
        <f t="shared" si="73"/>
        <v>0</v>
      </c>
    </row>
    <row r="53" spans="1:61" ht="12.75">
      <c r="A53" s="24" t="s">
        <v>44</v>
      </c>
      <c r="B53" s="25"/>
      <c r="C53" s="25" t="s">
        <v>291</v>
      </c>
      <c r="D53" s="25" t="s">
        <v>538</v>
      </c>
      <c r="E53" s="25" t="s">
        <v>753</v>
      </c>
      <c r="F53" s="47">
        <v>3</v>
      </c>
      <c r="G53" s="26">
        <f>'Smluvní ceník'!G53</f>
        <v>0</v>
      </c>
      <c r="H53" s="26">
        <f t="shared" si="50"/>
        <v>0</v>
      </c>
      <c r="I53" s="26">
        <f t="shared" si="51"/>
        <v>0</v>
      </c>
      <c r="J53" s="26">
        <f t="shared" si="52"/>
        <v>0</v>
      </c>
      <c r="K53" s="26">
        <v>0.0018</v>
      </c>
      <c r="L53" s="26">
        <f t="shared" si="53"/>
        <v>0.0054</v>
      </c>
      <c r="Y53" s="27">
        <f t="shared" si="54"/>
        <v>0</v>
      </c>
      <c r="AA53" s="27">
        <f t="shared" si="55"/>
        <v>0</v>
      </c>
      <c r="AB53" s="27">
        <f t="shared" si="56"/>
        <v>0</v>
      </c>
      <c r="AC53" s="27">
        <f t="shared" si="57"/>
        <v>0</v>
      </c>
      <c r="AD53" s="27">
        <f t="shared" si="58"/>
        <v>0</v>
      </c>
      <c r="AE53" s="27">
        <f t="shared" si="59"/>
        <v>0</v>
      </c>
      <c r="AF53" s="27">
        <f t="shared" si="60"/>
        <v>0</v>
      </c>
      <c r="AG53" s="27">
        <f t="shared" si="61"/>
        <v>0</v>
      </c>
      <c r="AH53" s="17"/>
      <c r="AI53" s="26">
        <f t="shared" si="62"/>
        <v>0</v>
      </c>
      <c r="AJ53" s="26">
        <f t="shared" si="63"/>
        <v>0</v>
      </c>
      <c r="AK53" s="26">
        <f t="shared" si="64"/>
        <v>0</v>
      </c>
      <c r="AM53" s="27">
        <v>21</v>
      </c>
      <c r="AN53" s="27">
        <f t="shared" si="74"/>
        <v>0</v>
      </c>
      <c r="AO53" s="27">
        <f t="shared" si="75"/>
        <v>0</v>
      </c>
      <c r="AP53" s="28" t="s">
        <v>13</v>
      </c>
      <c r="AU53" s="27">
        <f t="shared" si="65"/>
        <v>0</v>
      </c>
      <c r="AV53" s="27">
        <f t="shared" si="66"/>
        <v>0</v>
      </c>
      <c r="AW53" s="27">
        <f t="shared" si="67"/>
        <v>0</v>
      </c>
      <c r="AX53" s="29" t="s">
        <v>785</v>
      </c>
      <c r="AY53" s="29" t="s">
        <v>793</v>
      </c>
      <c r="AZ53" s="17" t="s">
        <v>796</v>
      </c>
      <c r="BB53" s="27">
        <f t="shared" si="68"/>
        <v>0</v>
      </c>
      <c r="BC53" s="27">
        <f t="shared" si="69"/>
        <v>0</v>
      </c>
      <c r="BD53" s="27">
        <v>0</v>
      </c>
      <c r="BE53" s="27">
        <f t="shared" si="70"/>
        <v>0.0054</v>
      </c>
      <c r="BG53" s="26">
        <f t="shared" si="71"/>
        <v>0</v>
      </c>
      <c r="BH53" s="26">
        <f t="shared" si="72"/>
        <v>0</v>
      </c>
      <c r="BI53" s="26">
        <f t="shared" si="73"/>
        <v>0</v>
      </c>
    </row>
    <row r="54" spans="1:61" ht="12.75">
      <c r="A54" s="24" t="s">
        <v>45</v>
      </c>
      <c r="B54" s="25"/>
      <c r="C54" s="25" t="s">
        <v>292</v>
      </c>
      <c r="D54" s="25" t="s">
        <v>539</v>
      </c>
      <c r="E54" s="25" t="s">
        <v>753</v>
      </c>
      <c r="F54" s="47">
        <v>2</v>
      </c>
      <c r="G54" s="26">
        <f>'Smluvní ceník'!G54</f>
        <v>0</v>
      </c>
      <c r="H54" s="26">
        <f t="shared" si="50"/>
        <v>0</v>
      </c>
      <c r="I54" s="26">
        <f t="shared" si="51"/>
        <v>0</v>
      </c>
      <c r="J54" s="26">
        <f t="shared" si="52"/>
        <v>0</v>
      </c>
      <c r="K54" s="26">
        <v>0.00223</v>
      </c>
      <c r="L54" s="26">
        <f t="shared" si="53"/>
        <v>0.00446</v>
      </c>
      <c r="Y54" s="27">
        <f t="shared" si="54"/>
        <v>0</v>
      </c>
      <c r="AA54" s="27">
        <f t="shared" si="55"/>
        <v>0</v>
      </c>
      <c r="AB54" s="27">
        <f t="shared" si="56"/>
        <v>0</v>
      </c>
      <c r="AC54" s="27">
        <f t="shared" si="57"/>
        <v>0</v>
      </c>
      <c r="AD54" s="27">
        <f t="shared" si="58"/>
        <v>0</v>
      </c>
      <c r="AE54" s="27">
        <f t="shared" si="59"/>
        <v>0</v>
      </c>
      <c r="AF54" s="27">
        <f t="shared" si="60"/>
        <v>0</v>
      </c>
      <c r="AG54" s="27">
        <f t="shared" si="61"/>
        <v>0</v>
      </c>
      <c r="AH54" s="17"/>
      <c r="AI54" s="26">
        <f t="shared" si="62"/>
        <v>0</v>
      </c>
      <c r="AJ54" s="26">
        <f t="shared" si="63"/>
        <v>0</v>
      </c>
      <c r="AK54" s="26">
        <f t="shared" si="64"/>
        <v>0</v>
      </c>
      <c r="AM54" s="27">
        <v>21</v>
      </c>
      <c r="AN54" s="27">
        <f t="shared" si="74"/>
        <v>0</v>
      </c>
      <c r="AO54" s="27">
        <f t="shared" si="75"/>
        <v>0</v>
      </c>
      <c r="AP54" s="28" t="s">
        <v>13</v>
      </c>
      <c r="AU54" s="27">
        <f t="shared" si="65"/>
        <v>0</v>
      </c>
      <c r="AV54" s="27">
        <f t="shared" si="66"/>
        <v>0</v>
      </c>
      <c r="AW54" s="27">
        <f t="shared" si="67"/>
        <v>0</v>
      </c>
      <c r="AX54" s="29" t="s">
        <v>785</v>
      </c>
      <c r="AY54" s="29" t="s">
        <v>793</v>
      </c>
      <c r="AZ54" s="17" t="s">
        <v>796</v>
      </c>
      <c r="BB54" s="27">
        <f t="shared" si="68"/>
        <v>0</v>
      </c>
      <c r="BC54" s="27">
        <f t="shared" si="69"/>
        <v>0</v>
      </c>
      <c r="BD54" s="27">
        <v>0</v>
      </c>
      <c r="BE54" s="27">
        <f t="shared" si="70"/>
        <v>0.00446</v>
      </c>
      <c r="BG54" s="26">
        <f t="shared" si="71"/>
        <v>0</v>
      </c>
      <c r="BH54" s="26">
        <f t="shared" si="72"/>
        <v>0</v>
      </c>
      <c r="BI54" s="26">
        <f t="shared" si="73"/>
        <v>0</v>
      </c>
    </row>
    <row r="55" spans="1:61" ht="12.75" hidden="1">
      <c r="A55" s="24" t="s">
        <v>46</v>
      </c>
      <c r="B55" s="25"/>
      <c r="C55" s="25" t="s">
        <v>293</v>
      </c>
      <c r="D55" s="25" t="s">
        <v>540</v>
      </c>
      <c r="E55" s="25" t="s">
        <v>750</v>
      </c>
      <c r="F55" s="47">
        <v>0</v>
      </c>
      <c r="G55" s="26">
        <f>'Smluvní ceník'!G55</f>
        <v>0</v>
      </c>
      <c r="H55" s="26">
        <f t="shared" si="50"/>
        <v>0</v>
      </c>
      <c r="I55" s="26">
        <f t="shared" si="51"/>
        <v>0</v>
      </c>
      <c r="J55" s="26">
        <f t="shared" si="52"/>
        <v>0</v>
      </c>
      <c r="K55" s="26">
        <v>0</v>
      </c>
      <c r="L55" s="26">
        <f t="shared" si="53"/>
        <v>0</v>
      </c>
      <c r="Y55" s="27">
        <f t="shared" si="54"/>
        <v>0</v>
      </c>
      <c r="AA55" s="27">
        <f t="shared" si="55"/>
        <v>0</v>
      </c>
      <c r="AB55" s="27">
        <f t="shared" si="56"/>
        <v>0</v>
      </c>
      <c r="AC55" s="27">
        <f t="shared" si="57"/>
        <v>0</v>
      </c>
      <c r="AD55" s="27">
        <f t="shared" si="58"/>
        <v>0</v>
      </c>
      <c r="AE55" s="27">
        <f t="shared" si="59"/>
        <v>0</v>
      </c>
      <c r="AF55" s="27">
        <f t="shared" si="60"/>
        <v>0</v>
      </c>
      <c r="AG55" s="27">
        <f t="shared" si="61"/>
        <v>0</v>
      </c>
      <c r="AH55" s="17"/>
      <c r="AI55" s="26">
        <f t="shared" si="62"/>
        <v>0</v>
      </c>
      <c r="AJ55" s="26">
        <f t="shared" si="63"/>
        <v>0</v>
      </c>
      <c r="AK55" s="26">
        <f t="shared" si="64"/>
        <v>0</v>
      </c>
      <c r="AM55" s="27">
        <v>21</v>
      </c>
      <c r="AN55" s="27">
        <f t="shared" si="74"/>
        <v>0</v>
      </c>
      <c r="AO55" s="27">
        <f t="shared" si="75"/>
        <v>0</v>
      </c>
      <c r="AP55" s="28" t="s">
        <v>13</v>
      </c>
      <c r="AU55" s="27">
        <f t="shared" si="65"/>
        <v>0</v>
      </c>
      <c r="AV55" s="27">
        <f t="shared" si="66"/>
        <v>0</v>
      </c>
      <c r="AW55" s="27">
        <f t="shared" si="67"/>
        <v>0</v>
      </c>
      <c r="AX55" s="29" t="s">
        <v>785</v>
      </c>
      <c r="AY55" s="29" t="s">
        <v>793</v>
      </c>
      <c r="AZ55" s="17" t="s">
        <v>796</v>
      </c>
      <c r="BB55" s="27">
        <f t="shared" si="68"/>
        <v>0</v>
      </c>
      <c r="BC55" s="27">
        <f t="shared" si="69"/>
        <v>0</v>
      </c>
      <c r="BD55" s="27">
        <v>0</v>
      </c>
      <c r="BE55" s="27">
        <f t="shared" si="70"/>
        <v>0</v>
      </c>
      <c r="BG55" s="26">
        <f t="shared" si="71"/>
        <v>0</v>
      </c>
      <c r="BH55" s="26">
        <f t="shared" si="72"/>
        <v>0</v>
      </c>
      <c r="BI55" s="26">
        <f t="shared" si="73"/>
        <v>0</v>
      </c>
    </row>
    <row r="56" spans="1:61" ht="12.75" hidden="1">
      <c r="A56" s="24" t="s">
        <v>47</v>
      </c>
      <c r="B56" s="25"/>
      <c r="C56" s="25" t="s">
        <v>294</v>
      </c>
      <c r="D56" s="25" t="s">
        <v>541</v>
      </c>
      <c r="E56" s="25" t="s">
        <v>750</v>
      </c>
      <c r="F56" s="47">
        <v>0</v>
      </c>
      <c r="G56" s="26">
        <f>'Smluvní ceník'!G56</f>
        <v>0</v>
      </c>
      <c r="H56" s="26">
        <f t="shared" si="50"/>
        <v>0</v>
      </c>
      <c r="I56" s="26">
        <f t="shared" si="51"/>
        <v>0</v>
      </c>
      <c r="J56" s="26">
        <f t="shared" si="52"/>
        <v>0</v>
      </c>
      <c r="K56" s="26">
        <v>0</v>
      </c>
      <c r="L56" s="26">
        <f t="shared" si="53"/>
        <v>0</v>
      </c>
      <c r="Y56" s="27">
        <f t="shared" si="54"/>
        <v>0</v>
      </c>
      <c r="AA56" s="27">
        <f t="shared" si="55"/>
        <v>0</v>
      </c>
      <c r="AB56" s="27">
        <f t="shared" si="56"/>
        <v>0</v>
      </c>
      <c r="AC56" s="27">
        <f t="shared" si="57"/>
        <v>0</v>
      </c>
      <c r="AD56" s="27">
        <f t="shared" si="58"/>
        <v>0</v>
      </c>
      <c r="AE56" s="27">
        <f t="shared" si="59"/>
        <v>0</v>
      </c>
      <c r="AF56" s="27">
        <f t="shared" si="60"/>
        <v>0</v>
      </c>
      <c r="AG56" s="27">
        <f t="shared" si="61"/>
        <v>0</v>
      </c>
      <c r="AH56" s="17"/>
      <c r="AI56" s="26">
        <f t="shared" si="62"/>
        <v>0</v>
      </c>
      <c r="AJ56" s="26">
        <f t="shared" si="63"/>
        <v>0</v>
      </c>
      <c r="AK56" s="26">
        <f t="shared" si="64"/>
        <v>0</v>
      </c>
      <c r="AM56" s="27">
        <v>21</v>
      </c>
      <c r="AN56" s="27">
        <f t="shared" si="74"/>
        <v>0</v>
      </c>
      <c r="AO56" s="27">
        <f t="shared" si="75"/>
        <v>0</v>
      </c>
      <c r="AP56" s="28" t="s">
        <v>13</v>
      </c>
      <c r="AU56" s="27">
        <f t="shared" si="65"/>
        <v>0</v>
      </c>
      <c r="AV56" s="27">
        <f t="shared" si="66"/>
        <v>0</v>
      </c>
      <c r="AW56" s="27">
        <f t="shared" si="67"/>
        <v>0</v>
      </c>
      <c r="AX56" s="29" t="s">
        <v>785</v>
      </c>
      <c r="AY56" s="29" t="s">
        <v>793</v>
      </c>
      <c r="AZ56" s="17" t="s">
        <v>796</v>
      </c>
      <c r="BB56" s="27">
        <f t="shared" si="68"/>
        <v>0</v>
      </c>
      <c r="BC56" s="27">
        <f t="shared" si="69"/>
        <v>0</v>
      </c>
      <c r="BD56" s="27">
        <v>0</v>
      </c>
      <c r="BE56" s="27">
        <f t="shared" si="70"/>
        <v>0</v>
      </c>
      <c r="BG56" s="26">
        <f t="shared" si="71"/>
        <v>0</v>
      </c>
      <c r="BH56" s="26">
        <f t="shared" si="72"/>
        <v>0</v>
      </c>
      <c r="BI56" s="26">
        <f t="shared" si="73"/>
        <v>0</v>
      </c>
    </row>
    <row r="57" spans="1:61" ht="12.75" hidden="1">
      <c r="A57" s="24" t="s">
        <v>48</v>
      </c>
      <c r="B57" s="25"/>
      <c r="C57" s="25" t="s">
        <v>295</v>
      </c>
      <c r="D57" s="25" t="s">
        <v>542</v>
      </c>
      <c r="E57" s="25" t="s">
        <v>750</v>
      </c>
      <c r="F57" s="47">
        <v>0</v>
      </c>
      <c r="G57" s="26">
        <f>'Smluvní ceník'!G57</f>
        <v>0</v>
      </c>
      <c r="H57" s="26">
        <f t="shared" si="50"/>
        <v>0</v>
      </c>
      <c r="I57" s="26">
        <f t="shared" si="51"/>
        <v>0</v>
      </c>
      <c r="J57" s="26">
        <f t="shared" si="52"/>
        <v>0</v>
      </c>
      <c r="K57" s="26">
        <v>0</v>
      </c>
      <c r="L57" s="26">
        <f t="shared" si="53"/>
        <v>0</v>
      </c>
      <c r="Y57" s="27">
        <f t="shared" si="54"/>
        <v>0</v>
      </c>
      <c r="AA57" s="27">
        <f t="shared" si="55"/>
        <v>0</v>
      </c>
      <c r="AB57" s="27">
        <f t="shared" si="56"/>
        <v>0</v>
      </c>
      <c r="AC57" s="27">
        <f t="shared" si="57"/>
        <v>0</v>
      </c>
      <c r="AD57" s="27">
        <f t="shared" si="58"/>
        <v>0</v>
      </c>
      <c r="AE57" s="27">
        <f t="shared" si="59"/>
        <v>0</v>
      </c>
      <c r="AF57" s="27">
        <f t="shared" si="60"/>
        <v>0</v>
      </c>
      <c r="AG57" s="27">
        <f t="shared" si="61"/>
        <v>0</v>
      </c>
      <c r="AH57" s="17"/>
      <c r="AI57" s="26">
        <f t="shared" si="62"/>
        <v>0</v>
      </c>
      <c r="AJ57" s="26">
        <f t="shared" si="63"/>
        <v>0</v>
      </c>
      <c r="AK57" s="26">
        <f t="shared" si="64"/>
        <v>0</v>
      </c>
      <c r="AM57" s="27">
        <v>21</v>
      </c>
      <c r="AN57" s="27">
        <f t="shared" si="74"/>
        <v>0</v>
      </c>
      <c r="AO57" s="27">
        <f t="shared" si="75"/>
        <v>0</v>
      </c>
      <c r="AP57" s="28" t="s">
        <v>13</v>
      </c>
      <c r="AU57" s="27">
        <f t="shared" si="65"/>
        <v>0</v>
      </c>
      <c r="AV57" s="27">
        <f t="shared" si="66"/>
        <v>0</v>
      </c>
      <c r="AW57" s="27">
        <f t="shared" si="67"/>
        <v>0</v>
      </c>
      <c r="AX57" s="29" t="s">
        <v>785</v>
      </c>
      <c r="AY57" s="29" t="s">
        <v>793</v>
      </c>
      <c r="AZ57" s="17" t="s">
        <v>796</v>
      </c>
      <c r="BB57" s="27">
        <f t="shared" si="68"/>
        <v>0</v>
      </c>
      <c r="BC57" s="27">
        <f t="shared" si="69"/>
        <v>0</v>
      </c>
      <c r="BD57" s="27">
        <v>0</v>
      </c>
      <c r="BE57" s="27">
        <f t="shared" si="70"/>
        <v>0</v>
      </c>
      <c r="BG57" s="26">
        <f t="shared" si="71"/>
        <v>0</v>
      </c>
      <c r="BH57" s="26">
        <f t="shared" si="72"/>
        <v>0</v>
      </c>
      <c r="BI57" s="26">
        <f t="shared" si="73"/>
        <v>0</v>
      </c>
    </row>
    <row r="58" spans="1:61" ht="12.75" hidden="1">
      <c r="A58" s="24" t="s">
        <v>49</v>
      </c>
      <c r="B58" s="25"/>
      <c r="C58" s="25" t="s">
        <v>296</v>
      </c>
      <c r="D58" s="25" t="s">
        <v>543</v>
      </c>
      <c r="E58" s="25" t="s">
        <v>750</v>
      </c>
      <c r="F58" s="47">
        <v>0</v>
      </c>
      <c r="G58" s="26">
        <f>'Smluvní ceník'!G58</f>
        <v>0</v>
      </c>
      <c r="H58" s="26">
        <f t="shared" si="50"/>
        <v>0</v>
      </c>
      <c r="I58" s="26">
        <f t="shared" si="51"/>
        <v>0</v>
      </c>
      <c r="J58" s="26">
        <f t="shared" si="52"/>
        <v>0</v>
      </c>
      <c r="K58" s="26">
        <v>0</v>
      </c>
      <c r="L58" s="26">
        <f t="shared" si="53"/>
        <v>0</v>
      </c>
      <c r="Y58" s="27">
        <f t="shared" si="54"/>
        <v>0</v>
      </c>
      <c r="AA58" s="27">
        <f t="shared" si="55"/>
        <v>0</v>
      </c>
      <c r="AB58" s="27">
        <f t="shared" si="56"/>
        <v>0</v>
      </c>
      <c r="AC58" s="27">
        <f t="shared" si="57"/>
        <v>0</v>
      </c>
      <c r="AD58" s="27">
        <f t="shared" si="58"/>
        <v>0</v>
      </c>
      <c r="AE58" s="27">
        <f t="shared" si="59"/>
        <v>0</v>
      </c>
      <c r="AF58" s="27">
        <f t="shared" si="60"/>
        <v>0</v>
      </c>
      <c r="AG58" s="27">
        <f t="shared" si="61"/>
        <v>0</v>
      </c>
      <c r="AH58" s="17"/>
      <c r="AI58" s="26">
        <f t="shared" si="62"/>
        <v>0</v>
      </c>
      <c r="AJ58" s="26">
        <f t="shared" si="63"/>
        <v>0</v>
      </c>
      <c r="AK58" s="26">
        <f t="shared" si="64"/>
        <v>0</v>
      </c>
      <c r="AM58" s="27">
        <v>21</v>
      </c>
      <c r="AN58" s="27">
        <f t="shared" si="74"/>
        <v>0</v>
      </c>
      <c r="AO58" s="27">
        <f t="shared" si="75"/>
        <v>0</v>
      </c>
      <c r="AP58" s="28" t="s">
        <v>13</v>
      </c>
      <c r="AU58" s="27">
        <f t="shared" si="65"/>
        <v>0</v>
      </c>
      <c r="AV58" s="27">
        <f t="shared" si="66"/>
        <v>0</v>
      </c>
      <c r="AW58" s="27">
        <f t="shared" si="67"/>
        <v>0</v>
      </c>
      <c r="AX58" s="29" t="s">
        <v>785</v>
      </c>
      <c r="AY58" s="29" t="s">
        <v>793</v>
      </c>
      <c r="AZ58" s="17" t="s">
        <v>796</v>
      </c>
      <c r="BB58" s="27">
        <f t="shared" si="68"/>
        <v>0</v>
      </c>
      <c r="BC58" s="27">
        <f t="shared" si="69"/>
        <v>0</v>
      </c>
      <c r="BD58" s="27">
        <v>0</v>
      </c>
      <c r="BE58" s="27">
        <f t="shared" si="70"/>
        <v>0</v>
      </c>
      <c r="BG58" s="26">
        <f t="shared" si="71"/>
        <v>0</v>
      </c>
      <c r="BH58" s="26">
        <f t="shared" si="72"/>
        <v>0</v>
      </c>
      <c r="BI58" s="26">
        <f t="shared" si="73"/>
        <v>0</v>
      </c>
    </row>
    <row r="59" spans="1:61" ht="12.75" hidden="1">
      <c r="A59" s="24" t="s">
        <v>50</v>
      </c>
      <c r="B59" s="25"/>
      <c r="C59" s="25" t="s">
        <v>297</v>
      </c>
      <c r="D59" s="25" t="s">
        <v>544</v>
      </c>
      <c r="E59" s="25" t="s">
        <v>753</v>
      </c>
      <c r="F59" s="47">
        <v>0</v>
      </c>
      <c r="G59" s="26">
        <f>'Smluvní ceník'!G59</f>
        <v>0</v>
      </c>
      <c r="H59" s="26">
        <f t="shared" si="50"/>
        <v>0</v>
      </c>
      <c r="I59" s="26">
        <f t="shared" si="51"/>
        <v>0</v>
      </c>
      <c r="J59" s="26">
        <f t="shared" si="52"/>
        <v>0</v>
      </c>
      <c r="K59" s="26">
        <v>0</v>
      </c>
      <c r="L59" s="26">
        <f t="shared" si="53"/>
        <v>0</v>
      </c>
      <c r="Y59" s="27">
        <f t="shared" si="54"/>
        <v>0</v>
      </c>
      <c r="AA59" s="27">
        <f t="shared" si="55"/>
        <v>0</v>
      </c>
      <c r="AB59" s="27">
        <f t="shared" si="56"/>
        <v>0</v>
      </c>
      <c r="AC59" s="27">
        <f t="shared" si="57"/>
        <v>0</v>
      </c>
      <c r="AD59" s="27">
        <f t="shared" si="58"/>
        <v>0</v>
      </c>
      <c r="AE59" s="27">
        <f t="shared" si="59"/>
        <v>0</v>
      </c>
      <c r="AF59" s="27">
        <f t="shared" si="60"/>
        <v>0</v>
      </c>
      <c r="AG59" s="27">
        <f t="shared" si="61"/>
        <v>0</v>
      </c>
      <c r="AH59" s="17"/>
      <c r="AI59" s="26">
        <f t="shared" si="62"/>
        <v>0</v>
      </c>
      <c r="AJ59" s="26">
        <f t="shared" si="63"/>
        <v>0</v>
      </c>
      <c r="AK59" s="26">
        <f t="shared" si="64"/>
        <v>0</v>
      </c>
      <c r="AM59" s="27">
        <v>21</v>
      </c>
      <c r="AN59" s="27">
        <f t="shared" si="74"/>
        <v>0</v>
      </c>
      <c r="AO59" s="27">
        <f t="shared" si="75"/>
        <v>0</v>
      </c>
      <c r="AP59" s="28" t="s">
        <v>13</v>
      </c>
      <c r="AU59" s="27">
        <f t="shared" si="65"/>
        <v>0</v>
      </c>
      <c r="AV59" s="27">
        <f t="shared" si="66"/>
        <v>0</v>
      </c>
      <c r="AW59" s="27">
        <f t="shared" si="67"/>
        <v>0</v>
      </c>
      <c r="AX59" s="29" t="s">
        <v>785</v>
      </c>
      <c r="AY59" s="29" t="s">
        <v>793</v>
      </c>
      <c r="AZ59" s="17" t="s">
        <v>796</v>
      </c>
      <c r="BB59" s="27">
        <f t="shared" si="68"/>
        <v>0</v>
      </c>
      <c r="BC59" s="27">
        <f t="shared" si="69"/>
        <v>0</v>
      </c>
      <c r="BD59" s="27">
        <v>0</v>
      </c>
      <c r="BE59" s="27">
        <f t="shared" si="70"/>
        <v>0</v>
      </c>
      <c r="BG59" s="26">
        <f t="shared" si="71"/>
        <v>0</v>
      </c>
      <c r="BH59" s="26">
        <f t="shared" si="72"/>
        <v>0</v>
      </c>
      <c r="BI59" s="26">
        <f t="shared" si="73"/>
        <v>0</v>
      </c>
    </row>
    <row r="60" spans="1:61" ht="12.75" hidden="1">
      <c r="A60" s="24" t="s">
        <v>51</v>
      </c>
      <c r="B60" s="25"/>
      <c r="C60" s="25" t="s">
        <v>298</v>
      </c>
      <c r="D60" s="25" t="s">
        <v>545</v>
      </c>
      <c r="E60" s="25" t="s">
        <v>753</v>
      </c>
      <c r="F60" s="47">
        <v>0</v>
      </c>
      <c r="G60" s="26">
        <f>'Smluvní ceník'!G60</f>
        <v>0</v>
      </c>
      <c r="H60" s="26">
        <f t="shared" si="50"/>
        <v>0</v>
      </c>
      <c r="I60" s="26">
        <f t="shared" si="51"/>
        <v>0</v>
      </c>
      <c r="J60" s="26">
        <f t="shared" si="52"/>
        <v>0</v>
      </c>
      <c r="K60" s="26">
        <v>0</v>
      </c>
      <c r="L60" s="26">
        <f t="shared" si="53"/>
        <v>0</v>
      </c>
      <c r="Y60" s="27">
        <f t="shared" si="54"/>
        <v>0</v>
      </c>
      <c r="AA60" s="27">
        <f t="shared" si="55"/>
        <v>0</v>
      </c>
      <c r="AB60" s="27">
        <f t="shared" si="56"/>
        <v>0</v>
      </c>
      <c r="AC60" s="27">
        <f t="shared" si="57"/>
        <v>0</v>
      </c>
      <c r="AD60" s="27">
        <f t="shared" si="58"/>
        <v>0</v>
      </c>
      <c r="AE60" s="27">
        <f t="shared" si="59"/>
        <v>0</v>
      </c>
      <c r="AF60" s="27">
        <f t="shared" si="60"/>
        <v>0</v>
      </c>
      <c r="AG60" s="27">
        <f t="shared" si="61"/>
        <v>0</v>
      </c>
      <c r="AH60" s="17"/>
      <c r="AI60" s="26">
        <f t="shared" si="62"/>
        <v>0</v>
      </c>
      <c r="AJ60" s="26">
        <f t="shared" si="63"/>
        <v>0</v>
      </c>
      <c r="AK60" s="26">
        <f t="shared" si="64"/>
        <v>0</v>
      </c>
      <c r="AM60" s="27">
        <v>21</v>
      </c>
      <c r="AN60" s="27">
        <f t="shared" si="74"/>
        <v>0</v>
      </c>
      <c r="AO60" s="27">
        <f t="shared" si="75"/>
        <v>0</v>
      </c>
      <c r="AP60" s="28" t="s">
        <v>13</v>
      </c>
      <c r="AU60" s="27">
        <f t="shared" si="65"/>
        <v>0</v>
      </c>
      <c r="AV60" s="27">
        <f t="shared" si="66"/>
        <v>0</v>
      </c>
      <c r="AW60" s="27">
        <f t="shared" si="67"/>
        <v>0</v>
      </c>
      <c r="AX60" s="29" t="s">
        <v>785</v>
      </c>
      <c r="AY60" s="29" t="s">
        <v>793</v>
      </c>
      <c r="AZ60" s="17" t="s">
        <v>796</v>
      </c>
      <c r="BB60" s="27">
        <f t="shared" si="68"/>
        <v>0</v>
      </c>
      <c r="BC60" s="27">
        <f t="shared" si="69"/>
        <v>0</v>
      </c>
      <c r="BD60" s="27">
        <v>0</v>
      </c>
      <c r="BE60" s="27">
        <f t="shared" si="70"/>
        <v>0</v>
      </c>
      <c r="BG60" s="26">
        <f t="shared" si="71"/>
        <v>0</v>
      </c>
      <c r="BH60" s="26">
        <f t="shared" si="72"/>
        <v>0</v>
      </c>
      <c r="BI60" s="26">
        <f t="shared" si="73"/>
        <v>0</v>
      </c>
    </row>
    <row r="61" spans="1:61" ht="12.75" hidden="1">
      <c r="A61" s="24" t="s">
        <v>52</v>
      </c>
      <c r="B61" s="25"/>
      <c r="C61" s="25" t="s">
        <v>299</v>
      </c>
      <c r="D61" s="25" t="s">
        <v>546</v>
      </c>
      <c r="E61" s="25" t="s">
        <v>753</v>
      </c>
      <c r="F61" s="47">
        <v>0</v>
      </c>
      <c r="G61" s="26">
        <f>'Smluvní ceník'!G61</f>
        <v>0</v>
      </c>
      <c r="H61" s="26">
        <f t="shared" si="50"/>
        <v>0</v>
      </c>
      <c r="I61" s="26">
        <f t="shared" si="51"/>
        <v>0</v>
      </c>
      <c r="J61" s="26">
        <f t="shared" si="52"/>
        <v>0</v>
      </c>
      <c r="K61" s="26">
        <v>0</v>
      </c>
      <c r="L61" s="26">
        <f t="shared" si="53"/>
        <v>0</v>
      </c>
      <c r="Y61" s="27">
        <f t="shared" si="54"/>
        <v>0</v>
      </c>
      <c r="AA61" s="27">
        <f t="shared" si="55"/>
        <v>0</v>
      </c>
      <c r="AB61" s="27">
        <f t="shared" si="56"/>
        <v>0</v>
      </c>
      <c r="AC61" s="27">
        <f t="shared" si="57"/>
        <v>0</v>
      </c>
      <c r="AD61" s="27">
        <f t="shared" si="58"/>
        <v>0</v>
      </c>
      <c r="AE61" s="27">
        <f t="shared" si="59"/>
        <v>0</v>
      </c>
      <c r="AF61" s="27">
        <f t="shared" si="60"/>
        <v>0</v>
      </c>
      <c r="AG61" s="27">
        <f t="shared" si="61"/>
        <v>0</v>
      </c>
      <c r="AH61" s="17"/>
      <c r="AI61" s="26">
        <f t="shared" si="62"/>
        <v>0</v>
      </c>
      <c r="AJ61" s="26">
        <f t="shared" si="63"/>
        <v>0</v>
      </c>
      <c r="AK61" s="26">
        <f t="shared" si="64"/>
        <v>0</v>
      </c>
      <c r="AM61" s="27">
        <v>21</v>
      </c>
      <c r="AN61" s="27">
        <f t="shared" si="74"/>
        <v>0</v>
      </c>
      <c r="AO61" s="27">
        <f t="shared" si="75"/>
        <v>0</v>
      </c>
      <c r="AP61" s="28" t="s">
        <v>13</v>
      </c>
      <c r="AU61" s="27">
        <f t="shared" si="65"/>
        <v>0</v>
      </c>
      <c r="AV61" s="27">
        <f t="shared" si="66"/>
        <v>0</v>
      </c>
      <c r="AW61" s="27">
        <f t="shared" si="67"/>
        <v>0</v>
      </c>
      <c r="AX61" s="29" t="s">
        <v>785</v>
      </c>
      <c r="AY61" s="29" t="s">
        <v>793</v>
      </c>
      <c r="AZ61" s="17" t="s">
        <v>796</v>
      </c>
      <c r="BB61" s="27">
        <f t="shared" si="68"/>
        <v>0</v>
      </c>
      <c r="BC61" s="27">
        <f t="shared" si="69"/>
        <v>0</v>
      </c>
      <c r="BD61" s="27">
        <v>0</v>
      </c>
      <c r="BE61" s="27">
        <f t="shared" si="70"/>
        <v>0</v>
      </c>
      <c r="BG61" s="26">
        <f t="shared" si="71"/>
        <v>0</v>
      </c>
      <c r="BH61" s="26">
        <f t="shared" si="72"/>
        <v>0</v>
      </c>
      <c r="BI61" s="26">
        <f t="shared" si="73"/>
        <v>0</v>
      </c>
    </row>
    <row r="62" spans="1:61" ht="12.75" hidden="1">
      <c r="A62" s="24" t="s">
        <v>53</v>
      </c>
      <c r="B62" s="25"/>
      <c r="C62" s="25" t="s">
        <v>300</v>
      </c>
      <c r="D62" s="25" t="s">
        <v>547</v>
      </c>
      <c r="E62" s="25" t="s">
        <v>753</v>
      </c>
      <c r="F62" s="47">
        <v>0</v>
      </c>
      <c r="G62" s="26">
        <f>'Smluvní ceník'!G62</f>
        <v>0</v>
      </c>
      <c r="H62" s="26">
        <f t="shared" si="50"/>
        <v>0</v>
      </c>
      <c r="I62" s="26">
        <f t="shared" si="51"/>
        <v>0</v>
      </c>
      <c r="J62" s="26">
        <f t="shared" si="52"/>
        <v>0</v>
      </c>
      <c r="K62" s="26">
        <v>0</v>
      </c>
      <c r="L62" s="26">
        <f t="shared" si="53"/>
        <v>0</v>
      </c>
      <c r="Y62" s="27">
        <f t="shared" si="54"/>
        <v>0</v>
      </c>
      <c r="AA62" s="27">
        <f t="shared" si="55"/>
        <v>0</v>
      </c>
      <c r="AB62" s="27">
        <f t="shared" si="56"/>
        <v>0</v>
      </c>
      <c r="AC62" s="27">
        <f t="shared" si="57"/>
        <v>0</v>
      </c>
      <c r="AD62" s="27">
        <f t="shared" si="58"/>
        <v>0</v>
      </c>
      <c r="AE62" s="27">
        <f t="shared" si="59"/>
        <v>0</v>
      </c>
      <c r="AF62" s="27">
        <f t="shared" si="60"/>
        <v>0</v>
      </c>
      <c r="AG62" s="27">
        <f t="shared" si="61"/>
        <v>0</v>
      </c>
      <c r="AH62" s="17"/>
      <c r="AI62" s="26">
        <f t="shared" si="62"/>
        <v>0</v>
      </c>
      <c r="AJ62" s="26">
        <f t="shared" si="63"/>
        <v>0</v>
      </c>
      <c r="AK62" s="26">
        <f t="shared" si="64"/>
        <v>0</v>
      </c>
      <c r="AM62" s="27">
        <v>21</v>
      </c>
      <c r="AN62" s="27">
        <f t="shared" si="74"/>
        <v>0</v>
      </c>
      <c r="AO62" s="27">
        <f t="shared" si="75"/>
        <v>0</v>
      </c>
      <c r="AP62" s="28" t="s">
        <v>13</v>
      </c>
      <c r="AU62" s="27">
        <f t="shared" si="65"/>
        <v>0</v>
      </c>
      <c r="AV62" s="27">
        <f t="shared" si="66"/>
        <v>0</v>
      </c>
      <c r="AW62" s="27">
        <f t="shared" si="67"/>
        <v>0</v>
      </c>
      <c r="AX62" s="29" t="s">
        <v>785</v>
      </c>
      <c r="AY62" s="29" t="s">
        <v>793</v>
      </c>
      <c r="AZ62" s="17" t="s">
        <v>796</v>
      </c>
      <c r="BB62" s="27">
        <f t="shared" si="68"/>
        <v>0</v>
      </c>
      <c r="BC62" s="27">
        <f t="shared" si="69"/>
        <v>0</v>
      </c>
      <c r="BD62" s="27">
        <v>0</v>
      </c>
      <c r="BE62" s="27">
        <f t="shared" si="70"/>
        <v>0</v>
      </c>
      <c r="BG62" s="26">
        <f t="shared" si="71"/>
        <v>0</v>
      </c>
      <c r="BH62" s="26">
        <f t="shared" si="72"/>
        <v>0</v>
      </c>
      <c r="BI62" s="26">
        <f t="shared" si="73"/>
        <v>0</v>
      </c>
    </row>
    <row r="63" spans="1:61" ht="12.75" hidden="1">
      <c r="A63" s="24" t="s">
        <v>54</v>
      </c>
      <c r="B63" s="25"/>
      <c r="C63" s="25" t="s">
        <v>301</v>
      </c>
      <c r="D63" s="25" t="s">
        <v>548</v>
      </c>
      <c r="E63" s="25" t="s">
        <v>753</v>
      </c>
      <c r="F63" s="47">
        <v>0</v>
      </c>
      <c r="G63" s="26">
        <f>'Smluvní ceník'!G63</f>
        <v>0</v>
      </c>
      <c r="H63" s="26">
        <f t="shared" si="50"/>
        <v>0</v>
      </c>
      <c r="I63" s="26">
        <f t="shared" si="51"/>
        <v>0</v>
      </c>
      <c r="J63" s="26">
        <f t="shared" si="52"/>
        <v>0</v>
      </c>
      <c r="K63" s="26">
        <v>0</v>
      </c>
      <c r="L63" s="26">
        <f t="shared" si="53"/>
        <v>0</v>
      </c>
      <c r="Y63" s="27">
        <f t="shared" si="54"/>
        <v>0</v>
      </c>
      <c r="AA63" s="27">
        <f t="shared" si="55"/>
        <v>0</v>
      </c>
      <c r="AB63" s="27">
        <f t="shared" si="56"/>
        <v>0</v>
      </c>
      <c r="AC63" s="27">
        <f t="shared" si="57"/>
        <v>0</v>
      </c>
      <c r="AD63" s="27">
        <f t="shared" si="58"/>
        <v>0</v>
      </c>
      <c r="AE63" s="27">
        <f t="shared" si="59"/>
        <v>0</v>
      </c>
      <c r="AF63" s="27">
        <f t="shared" si="60"/>
        <v>0</v>
      </c>
      <c r="AG63" s="27">
        <f t="shared" si="61"/>
        <v>0</v>
      </c>
      <c r="AH63" s="17"/>
      <c r="AI63" s="26">
        <f t="shared" si="62"/>
        <v>0</v>
      </c>
      <c r="AJ63" s="26">
        <f t="shared" si="63"/>
        <v>0</v>
      </c>
      <c r="AK63" s="26">
        <f t="shared" si="64"/>
        <v>0</v>
      </c>
      <c r="AM63" s="27">
        <v>21</v>
      </c>
      <c r="AN63" s="27">
        <f t="shared" si="74"/>
        <v>0</v>
      </c>
      <c r="AO63" s="27">
        <f t="shared" si="75"/>
        <v>0</v>
      </c>
      <c r="AP63" s="28" t="s">
        <v>13</v>
      </c>
      <c r="AU63" s="27">
        <f t="shared" si="65"/>
        <v>0</v>
      </c>
      <c r="AV63" s="27">
        <f t="shared" si="66"/>
        <v>0</v>
      </c>
      <c r="AW63" s="27">
        <f t="shared" si="67"/>
        <v>0</v>
      </c>
      <c r="AX63" s="29" t="s">
        <v>785</v>
      </c>
      <c r="AY63" s="29" t="s">
        <v>793</v>
      </c>
      <c r="AZ63" s="17" t="s">
        <v>796</v>
      </c>
      <c r="BB63" s="27">
        <f t="shared" si="68"/>
        <v>0</v>
      </c>
      <c r="BC63" s="27">
        <f t="shared" si="69"/>
        <v>0</v>
      </c>
      <c r="BD63" s="27">
        <v>0</v>
      </c>
      <c r="BE63" s="27">
        <f t="shared" si="70"/>
        <v>0</v>
      </c>
      <c r="BG63" s="26">
        <f t="shared" si="71"/>
        <v>0</v>
      </c>
      <c r="BH63" s="26">
        <f t="shared" si="72"/>
        <v>0</v>
      </c>
      <c r="BI63" s="26">
        <f t="shared" si="73"/>
        <v>0</v>
      </c>
    </row>
    <row r="64" spans="1:61" ht="12.75" hidden="1">
      <c r="A64" s="24" t="s">
        <v>55</v>
      </c>
      <c r="B64" s="25"/>
      <c r="C64" s="25" t="s">
        <v>302</v>
      </c>
      <c r="D64" s="25" t="s">
        <v>549</v>
      </c>
      <c r="E64" s="25" t="s">
        <v>753</v>
      </c>
      <c r="F64" s="47">
        <v>0</v>
      </c>
      <c r="G64" s="26">
        <f>'Smluvní ceník'!G64</f>
        <v>0</v>
      </c>
      <c r="H64" s="26">
        <f t="shared" si="50"/>
        <v>0</v>
      </c>
      <c r="I64" s="26">
        <f t="shared" si="51"/>
        <v>0</v>
      </c>
      <c r="J64" s="26">
        <f t="shared" si="52"/>
        <v>0</v>
      </c>
      <c r="K64" s="26">
        <v>0</v>
      </c>
      <c r="L64" s="26">
        <f t="shared" si="53"/>
        <v>0</v>
      </c>
      <c r="Y64" s="27">
        <f t="shared" si="54"/>
        <v>0</v>
      </c>
      <c r="AA64" s="27">
        <f t="shared" si="55"/>
        <v>0</v>
      </c>
      <c r="AB64" s="27">
        <f t="shared" si="56"/>
        <v>0</v>
      </c>
      <c r="AC64" s="27">
        <f t="shared" si="57"/>
        <v>0</v>
      </c>
      <c r="AD64" s="27">
        <f t="shared" si="58"/>
        <v>0</v>
      </c>
      <c r="AE64" s="27">
        <f t="shared" si="59"/>
        <v>0</v>
      </c>
      <c r="AF64" s="27">
        <f t="shared" si="60"/>
        <v>0</v>
      </c>
      <c r="AG64" s="27">
        <f t="shared" si="61"/>
        <v>0</v>
      </c>
      <c r="AH64" s="17"/>
      <c r="AI64" s="26">
        <f t="shared" si="62"/>
        <v>0</v>
      </c>
      <c r="AJ64" s="26">
        <f t="shared" si="63"/>
        <v>0</v>
      </c>
      <c r="AK64" s="26">
        <f t="shared" si="64"/>
        <v>0</v>
      </c>
      <c r="AM64" s="27">
        <v>21</v>
      </c>
      <c r="AN64" s="27">
        <f t="shared" si="74"/>
        <v>0</v>
      </c>
      <c r="AO64" s="27">
        <f t="shared" si="75"/>
        <v>0</v>
      </c>
      <c r="AP64" s="28" t="s">
        <v>13</v>
      </c>
      <c r="AU64" s="27">
        <f t="shared" si="65"/>
        <v>0</v>
      </c>
      <c r="AV64" s="27">
        <f t="shared" si="66"/>
        <v>0</v>
      </c>
      <c r="AW64" s="27">
        <f t="shared" si="67"/>
        <v>0</v>
      </c>
      <c r="AX64" s="29" t="s">
        <v>785</v>
      </c>
      <c r="AY64" s="29" t="s">
        <v>793</v>
      </c>
      <c r="AZ64" s="17" t="s">
        <v>796</v>
      </c>
      <c r="BB64" s="27">
        <f t="shared" si="68"/>
        <v>0</v>
      </c>
      <c r="BC64" s="27">
        <f t="shared" si="69"/>
        <v>0</v>
      </c>
      <c r="BD64" s="27">
        <v>0</v>
      </c>
      <c r="BE64" s="27">
        <f t="shared" si="70"/>
        <v>0</v>
      </c>
      <c r="BG64" s="26">
        <f t="shared" si="71"/>
        <v>0</v>
      </c>
      <c r="BH64" s="26">
        <f t="shared" si="72"/>
        <v>0</v>
      </c>
      <c r="BI64" s="26">
        <f t="shared" si="73"/>
        <v>0</v>
      </c>
    </row>
    <row r="65" spans="1:61" ht="12.75" hidden="1">
      <c r="A65" s="24" t="s">
        <v>56</v>
      </c>
      <c r="B65" s="25"/>
      <c r="C65" s="25" t="s">
        <v>303</v>
      </c>
      <c r="D65" s="25" t="s">
        <v>550</v>
      </c>
      <c r="E65" s="25" t="s">
        <v>753</v>
      </c>
      <c r="F65" s="47">
        <v>0</v>
      </c>
      <c r="G65" s="26">
        <f>'Smluvní ceník'!G65</f>
        <v>0</v>
      </c>
      <c r="H65" s="26">
        <f t="shared" si="50"/>
        <v>0</v>
      </c>
      <c r="I65" s="26">
        <f t="shared" si="51"/>
        <v>0</v>
      </c>
      <c r="J65" s="26">
        <f t="shared" si="52"/>
        <v>0</v>
      </c>
      <c r="K65" s="26">
        <v>0</v>
      </c>
      <c r="L65" s="26">
        <f t="shared" si="53"/>
        <v>0</v>
      </c>
      <c r="Y65" s="27">
        <f t="shared" si="54"/>
        <v>0</v>
      </c>
      <c r="AA65" s="27">
        <f t="shared" si="55"/>
        <v>0</v>
      </c>
      <c r="AB65" s="27">
        <f t="shared" si="56"/>
        <v>0</v>
      </c>
      <c r="AC65" s="27">
        <f t="shared" si="57"/>
        <v>0</v>
      </c>
      <c r="AD65" s="27">
        <f t="shared" si="58"/>
        <v>0</v>
      </c>
      <c r="AE65" s="27">
        <f t="shared" si="59"/>
        <v>0</v>
      </c>
      <c r="AF65" s="27">
        <f t="shared" si="60"/>
        <v>0</v>
      </c>
      <c r="AG65" s="27">
        <f t="shared" si="61"/>
        <v>0</v>
      </c>
      <c r="AH65" s="17"/>
      <c r="AI65" s="26">
        <f t="shared" si="62"/>
        <v>0</v>
      </c>
      <c r="AJ65" s="26">
        <f t="shared" si="63"/>
        <v>0</v>
      </c>
      <c r="AK65" s="26">
        <f t="shared" si="64"/>
        <v>0</v>
      </c>
      <c r="AM65" s="27">
        <v>21</v>
      </c>
      <c r="AN65" s="27">
        <f t="shared" si="74"/>
        <v>0</v>
      </c>
      <c r="AO65" s="27">
        <f t="shared" si="75"/>
        <v>0</v>
      </c>
      <c r="AP65" s="28" t="s">
        <v>13</v>
      </c>
      <c r="AU65" s="27">
        <f t="shared" si="65"/>
        <v>0</v>
      </c>
      <c r="AV65" s="27">
        <f t="shared" si="66"/>
        <v>0</v>
      </c>
      <c r="AW65" s="27">
        <f t="shared" si="67"/>
        <v>0</v>
      </c>
      <c r="AX65" s="29" t="s">
        <v>785</v>
      </c>
      <c r="AY65" s="29" t="s">
        <v>793</v>
      </c>
      <c r="AZ65" s="17" t="s">
        <v>796</v>
      </c>
      <c r="BB65" s="27">
        <f t="shared" si="68"/>
        <v>0</v>
      </c>
      <c r="BC65" s="27">
        <f t="shared" si="69"/>
        <v>0</v>
      </c>
      <c r="BD65" s="27">
        <v>0</v>
      </c>
      <c r="BE65" s="27">
        <f t="shared" si="70"/>
        <v>0</v>
      </c>
      <c r="BG65" s="26">
        <f t="shared" si="71"/>
        <v>0</v>
      </c>
      <c r="BH65" s="26">
        <f t="shared" si="72"/>
        <v>0</v>
      </c>
      <c r="BI65" s="26">
        <f t="shared" si="73"/>
        <v>0</v>
      </c>
    </row>
    <row r="66" spans="1:61" ht="12.75" hidden="1">
      <c r="A66" s="24" t="s">
        <v>57</v>
      </c>
      <c r="B66" s="25"/>
      <c r="C66" s="25" t="s">
        <v>304</v>
      </c>
      <c r="D66" s="25" t="s">
        <v>551</v>
      </c>
      <c r="E66" s="25" t="s">
        <v>753</v>
      </c>
      <c r="F66" s="47">
        <v>0</v>
      </c>
      <c r="G66" s="26">
        <f>'Smluvní ceník'!G66</f>
        <v>0</v>
      </c>
      <c r="H66" s="26">
        <f t="shared" si="50"/>
        <v>0</v>
      </c>
      <c r="I66" s="26">
        <f t="shared" si="51"/>
        <v>0</v>
      </c>
      <c r="J66" s="26">
        <f t="shared" si="52"/>
        <v>0</v>
      </c>
      <c r="K66" s="26">
        <v>0</v>
      </c>
      <c r="L66" s="26">
        <f t="shared" si="53"/>
        <v>0</v>
      </c>
      <c r="Y66" s="27">
        <f t="shared" si="54"/>
        <v>0</v>
      </c>
      <c r="AA66" s="27">
        <f t="shared" si="55"/>
        <v>0</v>
      </c>
      <c r="AB66" s="27">
        <f t="shared" si="56"/>
        <v>0</v>
      </c>
      <c r="AC66" s="27">
        <f t="shared" si="57"/>
        <v>0</v>
      </c>
      <c r="AD66" s="27">
        <f t="shared" si="58"/>
        <v>0</v>
      </c>
      <c r="AE66" s="27">
        <f t="shared" si="59"/>
        <v>0</v>
      </c>
      <c r="AF66" s="27">
        <f t="shared" si="60"/>
        <v>0</v>
      </c>
      <c r="AG66" s="27">
        <f t="shared" si="61"/>
        <v>0</v>
      </c>
      <c r="AH66" s="17"/>
      <c r="AI66" s="26">
        <f t="shared" si="62"/>
        <v>0</v>
      </c>
      <c r="AJ66" s="26">
        <f t="shared" si="63"/>
        <v>0</v>
      </c>
      <c r="AK66" s="26">
        <f t="shared" si="64"/>
        <v>0</v>
      </c>
      <c r="AM66" s="27">
        <v>21</v>
      </c>
      <c r="AN66" s="27">
        <f t="shared" si="74"/>
        <v>0</v>
      </c>
      <c r="AO66" s="27">
        <f t="shared" si="75"/>
        <v>0</v>
      </c>
      <c r="AP66" s="28" t="s">
        <v>13</v>
      </c>
      <c r="AU66" s="27">
        <f t="shared" si="65"/>
        <v>0</v>
      </c>
      <c r="AV66" s="27">
        <f t="shared" si="66"/>
        <v>0</v>
      </c>
      <c r="AW66" s="27">
        <f t="shared" si="67"/>
        <v>0</v>
      </c>
      <c r="AX66" s="29" t="s">
        <v>785</v>
      </c>
      <c r="AY66" s="29" t="s">
        <v>793</v>
      </c>
      <c r="AZ66" s="17" t="s">
        <v>796</v>
      </c>
      <c r="BB66" s="27">
        <f t="shared" si="68"/>
        <v>0</v>
      </c>
      <c r="BC66" s="27">
        <f t="shared" si="69"/>
        <v>0</v>
      </c>
      <c r="BD66" s="27">
        <v>0</v>
      </c>
      <c r="BE66" s="27">
        <f t="shared" si="70"/>
        <v>0</v>
      </c>
      <c r="BG66" s="26">
        <f t="shared" si="71"/>
        <v>0</v>
      </c>
      <c r="BH66" s="26">
        <f t="shared" si="72"/>
        <v>0</v>
      </c>
      <c r="BI66" s="26">
        <f t="shared" si="73"/>
        <v>0</v>
      </c>
    </row>
    <row r="67" spans="1:61" ht="12.75" hidden="1">
      <c r="A67" s="24" t="s">
        <v>58</v>
      </c>
      <c r="B67" s="25"/>
      <c r="C67" s="25" t="s">
        <v>305</v>
      </c>
      <c r="D67" s="25" t="s">
        <v>552</v>
      </c>
      <c r="E67" s="25" t="s">
        <v>753</v>
      </c>
      <c r="F67" s="47">
        <v>0</v>
      </c>
      <c r="G67" s="26">
        <f>'Smluvní ceník'!G67</f>
        <v>0</v>
      </c>
      <c r="H67" s="26">
        <f t="shared" si="50"/>
        <v>0</v>
      </c>
      <c r="I67" s="26">
        <f t="shared" si="51"/>
        <v>0</v>
      </c>
      <c r="J67" s="26">
        <f t="shared" si="52"/>
        <v>0</v>
      </c>
      <c r="K67" s="26">
        <v>0</v>
      </c>
      <c r="L67" s="26">
        <f t="shared" si="53"/>
        <v>0</v>
      </c>
      <c r="Y67" s="27">
        <f t="shared" si="54"/>
        <v>0</v>
      </c>
      <c r="AA67" s="27">
        <f t="shared" si="55"/>
        <v>0</v>
      </c>
      <c r="AB67" s="27">
        <f t="shared" si="56"/>
        <v>0</v>
      </c>
      <c r="AC67" s="27">
        <f t="shared" si="57"/>
        <v>0</v>
      </c>
      <c r="AD67" s="27">
        <f t="shared" si="58"/>
        <v>0</v>
      </c>
      <c r="AE67" s="27">
        <f t="shared" si="59"/>
        <v>0</v>
      </c>
      <c r="AF67" s="27">
        <f t="shared" si="60"/>
        <v>0</v>
      </c>
      <c r="AG67" s="27">
        <f t="shared" si="61"/>
        <v>0</v>
      </c>
      <c r="AH67" s="17"/>
      <c r="AI67" s="26">
        <f t="shared" si="62"/>
        <v>0</v>
      </c>
      <c r="AJ67" s="26">
        <f t="shared" si="63"/>
        <v>0</v>
      </c>
      <c r="AK67" s="26">
        <f t="shared" si="64"/>
        <v>0</v>
      </c>
      <c r="AM67" s="27">
        <v>21</v>
      </c>
      <c r="AN67" s="27">
        <f t="shared" si="74"/>
        <v>0</v>
      </c>
      <c r="AO67" s="27">
        <f t="shared" si="75"/>
        <v>0</v>
      </c>
      <c r="AP67" s="28" t="s">
        <v>13</v>
      </c>
      <c r="AU67" s="27">
        <f t="shared" si="65"/>
        <v>0</v>
      </c>
      <c r="AV67" s="27">
        <f t="shared" si="66"/>
        <v>0</v>
      </c>
      <c r="AW67" s="27">
        <f t="shared" si="67"/>
        <v>0</v>
      </c>
      <c r="AX67" s="29" t="s">
        <v>785</v>
      </c>
      <c r="AY67" s="29" t="s">
        <v>793</v>
      </c>
      <c r="AZ67" s="17" t="s">
        <v>796</v>
      </c>
      <c r="BB67" s="27">
        <f t="shared" si="68"/>
        <v>0</v>
      </c>
      <c r="BC67" s="27">
        <f t="shared" si="69"/>
        <v>0</v>
      </c>
      <c r="BD67" s="27">
        <v>0</v>
      </c>
      <c r="BE67" s="27">
        <f t="shared" si="70"/>
        <v>0</v>
      </c>
      <c r="BG67" s="26">
        <f t="shared" si="71"/>
        <v>0</v>
      </c>
      <c r="BH67" s="26">
        <f t="shared" si="72"/>
        <v>0</v>
      </c>
      <c r="BI67" s="26">
        <f t="shared" si="73"/>
        <v>0</v>
      </c>
    </row>
    <row r="68" spans="1:61" ht="12.75" hidden="1">
      <c r="A68" s="24" t="s">
        <v>59</v>
      </c>
      <c r="B68" s="25"/>
      <c r="C68" s="25" t="s">
        <v>306</v>
      </c>
      <c r="D68" s="25" t="s">
        <v>553</v>
      </c>
      <c r="E68" s="25" t="s">
        <v>753</v>
      </c>
      <c r="F68" s="47">
        <v>0</v>
      </c>
      <c r="G68" s="26">
        <f>'Smluvní ceník'!G68</f>
        <v>0</v>
      </c>
      <c r="H68" s="26">
        <f t="shared" si="50"/>
        <v>0</v>
      </c>
      <c r="I68" s="26">
        <f t="shared" si="51"/>
        <v>0</v>
      </c>
      <c r="J68" s="26">
        <f t="shared" si="52"/>
        <v>0</v>
      </c>
      <c r="K68" s="26">
        <v>0</v>
      </c>
      <c r="L68" s="26">
        <f t="shared" si="53"/>
        <v>0</v>
      </c>
      <c r="Y68" s="27">
        <f t="shared" si="54"/>
        <v>0</v>
      </c>
      <c r="AA68" s="27">
        <f t="shared" si="55"/>
        <v>0</v>
      </c>
      <c r="AB68" s="27">
        <f t="shared" si="56"/>
        <v>0</v>
      </c>
      <c r="AC68" s="27">
        <f t="shared" si="57"/>
        <v>0</v>
      </c>
      <c r="AD68" s="27">
        <f t="shared" si="58"/>
        <v>0</v>
      </c>
      <c r="AE68" s="27">
        <f t="shared" si="59"/>
        <v>0</v>
      </c>
      <c r="AF68" s="27">
        <f t="shared" si="60"/>
        <v>0</v>
      </c>
      <c r="AG68" s="27">
        <f t="shared" si="61"/>
        <v>0</v>
      </c>
      <c r="AH68" s="17"/>
      <c r="AI68" s="26">
        <f t="shared" si="62"/>
        <v>0</v>
      </c>
      <c r="AJ68" s="26">
        <f t="shared" si="63"/>
        <v>0</v>
      </c>
      <c r="AK68" s="26">
        <f t="shared" si="64"/>
        <v>0</v>
      </c>
      <c r="AM68" s="27">
        <v>21</v>
      </c>
      <c r="AN68" s="27">
        <f t="shared" si="74"/>
        <v>0</v>
      </c>
      <c r="AO68" s="27">
        <f t="shared" si="75"/>
        <v>0</v>
      </c>
      <c r="AP68" s="28" t="s">
        <v>13</v>
      </c>
      <c r="AU68" s="27">
        <f t="shared" si="65"/>
        <v>0</v>
      </c>
      <c r="AV68" s="27">
        <f t="shared" si="66"/>
        <v>0</v>
      </c>
      <c r="AW68" s="27">
        <f t="shared" si="67"/>
        <v>0</v>
      </c>
      <c r="AX68" s="29" t="s">
        <v>785</v>
      </c>
      <c r="AY68" s="29" t="s">
        <v>793</v>
      </c>
      <c r="AZ68" s="17" t="s">
        <v>796</v>
      </c>
      <c r="BB68" s="27">
        <f t="shared" si="68"/>
        <v>0</v>
      </c>
      <c r="BC68" s="27">
        <f t="shared" si="69"/>
        <v>0</v>
      </c>
      <c r="BD68" s="27">
        <v>0</v>
      </c>
      <c r="BE68" s="27">
        <f t="shared" si="70"/>
        <v>0</v>
      </c>
      <c r="BG68" s="26">
        <f t="shared" si="71"/>
        <v>0</v>
      </c>
      <c r="BH68" s="26">
        <f t="shared" si="72"/>
        <v>0</v>
      </c>
      <c r="BI68" s="26">
        <f t="shared" si="73"/>
        <v>0</v>
      </c>
    </row>
    <row r="69" spans="1:61" ht="12.75" hidden="1">
      <c r="A69" s="24" t="s">
        <v>60</v>
      </c>
      <c r="B69" s="25"/>
      <c r="C69" s="25" t="s">
        <v>307</v>
      </c>
      <c r="D69" s="25" t="s">
        <v>554</v>
      </c>
      <c r="E69" s="25" t="s">
        <v>753</v>
      </c>
      <c r="F69" s="47">
        <v>0</v>
      </c>
      <c r="G69" s="26">
        <f>'Smluvní ceník'!G69</f>
        <v>0</v>
      </c>
      <c r="H69" s="26">
        <f t="shared" si="50"/>
        <v>0</v>
      </c>
      <c r="I69" s="26">
        <f t="shared" si="51"/>
        <v>0</v>
      </c>
      <c r="J69" s="26">
        <f t="shared" si="52"/>
        <v>0</v>
      </c>
      <c r="K69" s="26">
        <v>0</v>
      </c>
      <c r="L69" s="26">
        <f t="shared" si="53"/>
        <v>0</v>
      </c>
      <c r="Y69" s="27">
        <f t="shared" si="54"/>
        <v>0</v>
      </c>
      <c r="AA69" s="27">
        <f t="shared" si="55"/>
        <v>0</v>
      </c>
      <c r="AB69" s="27">
        <f t="shared" si="56"/>
        <v>0</v>
      </c>
      <c r="AC69" s="27">
        <f t="shared" si="57"/>
        <v>0</v>
      </c>
      <c r="AD69" s="27">
        <f t="shared" si="58"/>
        <v>0</v>
      </c>
      <c r="AE69" s="27">
        <f t="shared" si="59"/>
        <v>0</v>
      </c>
      <c r="AF69" s="27">
        <f t="shared" si="60"/>
        <v>0</v>
      </c>
      <c r="AG69" s="27">
        <f t="shared" si="61"/>
        <v>0</v>
      </c>
      <c r="AH69" s="17"/>
      <c r="AI69" s="26">
        <f t="shared" si="62"/>
        <v>0</v>
      </c>
      <c r="AJ69" s="26">
        <f t="shared" si="63"/>
        <v>0</v>
      </c>
      <c r="AK69" s="26">
        <f t="shared" si="64"/>
        <v>0</v>
      </c>
      <c r="AM69" s="27">
        <v>21</v>
      </c>
      <c r="AN69" s="27">
        <f t="shared" si="74"/>
        <v>0</v>
      </c>
      <c r="AO69" s="27">
        <f t="shared" si="75"/>
        <v>0</v>
      </c>
      <c r="AP69" s="28" t="s">
        <v>13</v>
      </c>
      <c r="AU69" s="27">
        <f t="shared" si="65"/>
        <v>0</v>
      </c>
      <c r="AV69" s="27">
        <f t="shared" si="66"/>
        <v>0</v>
      </c>
      <c r="AW69" s="27">
        <f t="shared" si="67"/>
        <v>0</v>
      </c>
      <c r="AX69" s="29" t="s">
        <v>785</v>
      </c>
      <c r="AY69" s="29" t="s">
        <v>793</v>
      </c>
      <c r="AZ69" s="17" t="s">
        <v>796</v>
      </c>
      <c r="BB69" s="27">
        <f t="shared" si="68"/>
        <v>0</v>
      </c>
      <c r="BC69" s="27">
        <f t="shared" si="69"/>
        <v>0</v>
      </c>
      <c r="BD69" s="27">
        <v>0</v>
      </c>
      <c r="BE69" s="27">
        <f t="shared" si="70"/>
        <v>0</v>
      </c>
      <c r="BG69" s="26">
        <f t="shared" si="71"/>
        <v>0</v>
      </c>
      <c r="BH69" s="26">
        <f t="shared" si="72"/>
        <v>0</v>
      </c>
      <c r="BI69" s="26">
        <f t="shared" si="73"/>
        <v>0</v>
      </c>
    </row>
    <row r="70" spans="1:61" ht="12.75" hidden="1">
      <c r="A70" s="24" t="s">
        <v>61</v>
      </c>
      <c r="B70" s="25"/>
      <c r="C70" s="25" t="s">
        <v>308</v>
      </c>
      <c r="D70" s="25" t="s">
        <v>555</v>
      </c>
      <c r="E70" s="25" t="s">
        <v>753</v>
      </c>
      <c r="F70" s="47">
        <v>0</v>
      </c>
      <c r="G70" s="26">
        <f>'Smluvní ceník'!G70</f>
        <v>0</v>
      </c>
      <c r="H70" s="26">
        <f t="shared" si="50"/>
        <v>0</v>
      </c>
      <c r="I70" s="26">
        <f t="shared" si="51"/>
        <v>0</v>
      </c>
      <c r="J70" s="26">
        <f t="shared" si="52"/>
        <v>0</v>
      </c>
      <c r="K70" s="26">
        <v>0</v>
      </c>
      <c r="L70" s="26">
        <f t="shared" si="53"/>
        <v>0</v>
      </c>
      <c r="Y70" s="27">
        <f t="shared" si="54"/>
        <v>0</v>
      </c>
      <c r="AA70" s="27">
        <f t="shared" si="55"/>
        <v>0</v>
      </c>
      <c r="AB70" s="27">
        <f t="shared" si="56"/>
        <v>0</v>
      </c>
      <c r="AC70" s="27">
        <f t="shared" si="57"/>
        <v>0</v>
      </c>
      <c r="AD70" s="27">
        <f t="shared" si="58"/>
        <v>0</v>
      </c>
      <c r="AE70" s="27">
        <f t="shared" si="59"/>
        <v>0</v>
      </c>
      <c r="AF70" s="27">
        <f t="shared" si="60"/>
        <v>0</v>
      </c>
      <c r="AG70" s="27">
        <f t="shared" si="61"/>
        <v>0</v>
      </c>
      <c r="AH70" s="17"/>
      <c r="AI70" s="26">
        <f t="shared" si="62"/>
        <v>0</v>
      </c>
      <c r="AJ70" s="26">
        <f t="shared" si="63"/>
        <v>0</v>
      </c>
      <c r="AK70" s="26">
        <f t="shared" si="64"/>
        <v>0</v>
      </c>
      <c r="AM70" s="27">
        <v>21</v>
      </c>
      <c r="AN70" s="27">
        <f t="shared" si="74"/>
        <v>0</v>
      </c>
      <c r="AO70" s="27">
        <f t="shared" si="75"/>
        <v>0</v>
      </c>
      <c r="AP70" s="28" t="s">
        <v>13</v>
      </c>
      <c r="AU70" s="27">
        <f t="shared" si="65"/>
        <v>0</v>
      </c>
      <c r="AV70" s="27">
        <f t="shared" si="66"/>
        <v>0</v>
      </c>
      <c r="AW70" s="27">
        <f t="shared" si="67"/>
        <v>0</v>
      </c>
      <c r="AX70" s="29" t="s">
        <v>785</v>
      </c>
      <c r="AY70" s="29" t="s">
        <v>793</v>
      </c>
      <c r="AZ70" s="17" t="s">
        <v>796</v>
      </c>
      <c r="BB70" s="27">
        <f t="shared" si="68"/>
        <v>0</v>
      </c>
      <c r="BC70" s="27">
        <f t="shared" si="69"/>
        <v>0</v>
      </c>
      <c r="BD70" s="27">
        <v>0</v>
      </c>
      <c r="BE70" s="27">
        <f t="shared" si="70"/>
        <v>0</v>
      </c>
      <c r="BG70" s="26">
        <f t="shared" si="71"/>
        <v>0</v>
      </c>
      <c r="BH70" s="26">
        <f t="shared" si="72"/>
        <v>0</v>
      </c>
      <c r="BI70" s="26">
        <f t="shared" si="73"/>
        <v>0</v>
      </c>
    </row>
    <row r="71" spans="1:61" ht="12.75" hidden="1">
      <c r="A71" s="24" t="s">
        <v>62</v>
      </c>
      <c r="B71" s="25"/>
      <c r="C71" s="25" t="s">
        <v>309</v>
      </c>
      <c r="D71" s="25" t="s">
        <v>556</v>
      </c>
      <c r="E71" s="25" t="s">
        <v>753</v>
      </c>
      <c r="F71" s="47">
        <v>0</v>
      </c>
      <c r="G71" s="26">
        <f>'Smluvní ceník'!G71</f>
        <v>0</v>
      </c>
      <c r="H71" s="26">
        <f t="shared" si="50"/>
        <v>0</v>
      </c>
      <c r="I71" s="26">
        <f t="shared" si="51"/>
        <v>0</v>
      </c>
      <c r="J71" s="26">
        <f t="shared" si="52"/>
        <v>0</v>
      </c>
      <c r="K71" s="26">
        <v>0</v>
      </c>
      <c r="L71" s="26">
        <f t="shared" si="53"/>
        <v>0</v>
      </c>
      <c r="Y71" s="27">
        <f t="shared" si="54"/>
        <v>0</v>
      </c>
      <c r="AA71" s="27">
        <f t="shared" si="55"/>
        <v>0</v>
      </c>
      <c r="AB71" s="27">
        <f t="shared" si="56"/>
        <v>0</v>
      </c>
      <c r="AC71" s="27">
        <f t="shared" si="57"/>
        <v>0</v>
      </c>
      <c r="AD71" s="27">
        <f t="shared" si="58"/>
        <v>0</v>
      </c>
      <c r="AE71" s="27">
        <f t="shared" si="59"/>
        <v>0</v>
      </c>
      <c r="AF71" s="27">
        <f t="shared" si="60"/>
        <v>0</v>
      </c>
      <c r="AG71" s="27">
        <f t="shared" si="61"/>
        <v>0</v>
      </c>
      <c r="AH71" s="17"/>
      <c r="AI71" s="26">
        <f t="shared" si="62"/>
        <v>0</v>
      </c>
      <c r="AJ71" s="26">
        <f t="shared" si="63"/>
        <v>0</v>
      </c>
      <c r="AK71" s="26">
        <f t="shared" si="64"/>
        <v>0</v>
      </c>
      <c r="AM71" s="27">
        <v>21</v>
      </c>
      <c r="AN71" s="27">
        <f t="shared" si="74"/>
        <v>0</v>
      </c>
      <c r="AO71" s="27">
        <f t="shared" si="75"/>
        <v>0</v>
      </c>
      <c r="AP71" s="28" t="s">
        <v>13</v>
      </c>
      <c r="AU71" s="27">
        <f t="shared" si="65"/>
        <v>0</v>
      </c>
      <c r="AV71" s="27">
        <f t="shared" si="66"/>
        <v>0</v>
      </c>
      <c r="AW71" s="27">
        <f t="shared" si="67"/>
        <v>0</v>
      </c>
      <c r="AX71" s="29" t="s">
        <v>785</v>
      </c>
      <c r="AY71" s="29" t="s">
        <v>793</v>
      </c>
      <c r="AZ71" s="17" t="s">
        <v>796</v>
      </c>
      <c r="BB71" s="27">
        <f t="shared" si="68"/>
        <v>0</v>
      </c>
      <c r="BC71" s="27">
        <f t="shared" si="69"/>
        <v>0</v>
      </c>
      <c r="BD71" s="27">
        <v>0</v>
      </c>
      <c r="BE71" s="27">
        <f t="shared" si="70"/>
        <v>0</v>
      </c>
      <c r="BG71" s="26">
        <f t="shared" si="71"/>
        <v>0</v>
      </c>
      <c r="BH71" s="26">
        <f t="shared" si="72"/>
        <v>0</v>
      </c>
      <c r="BI71" s="26">
        <f t="shared" si="73"/>
        <v>0</v>
      </c>
    </row>
    <row r="72" spans="1:61" ht="12.75" hidden="1">
      <c r="A72" s="24" t="s">
        <v>63</v>
      </c>
      <c r="B72" s="25"/>
      <c r="C72" s="25" t="s">
        <v>310</v>
      </c>
      <c r="D72" s="25" t="s">
        <v>557</v>
      </c>
      <c r="E72" s="25" t="s">
        <v>753</v>
      </c>
      <c r="F72" s="47">
        <v>0</v>
      </c>
      <c r="G72" s="26">
        <f>'Smluvní ceník'!G72</f>
        <v>0</v>
      </c>
      <c r="H72" s="26">
        <f t="shared" si="50"/>
        <v>0</v>
      </c>
      <c r="I72" s="26">
        <f t="shared" si="51"/>
        <v>0</v>
      </c>
      <c r="J72" s="26">
        <f t="shared" si="52"/>
        <v>0</v>
      </c>
      <c r="K72" s="26">
        <v>0</v>
      </c>
      <c r="L72" s="26">
        <f t="shared" si="53"/>
        <v>0</v>
      </c>
      <c r="Y72" s="27">
        <f t="shared" si="54"/>
        <v>0</v>
      </c>
      <c r="AA72" s="27">
        <f t="shared" si="55"/>
        <v>0</v>
      </c>
      <c r="AB72" s="27">
        <f t="shared" si="56"/>
        <v>0</v>
      </c>
      <c r="AC72" s="27">
        <f t="shared" si="57"/>
        <v>0</v>
      </c>
      <c r="AD72" s="27">
        <f t="shared" si="58"/>
        <v>0</v>
      </c>
      <c r="AE72" s="27">
        <f t="shared" si="59"/>
        <v>0</v>
      </c>
      <c r="AF72" s="27">
        <f t="shared" si="60"/>
        <v>0</v>
      </c>
      <c r="AG72" s="27">
        <f t="shared" si="61"/>
        <v>0</v>
      </c>
      <c r="AH72" s="17"/>
      <c r="AI72" s="26">
        <f t="shared" si="62"/>
        <v>0</v>
      </c>
      <c r="AJ72" s="26">
        <f t="shared" si="63"/>
        <v>0</v>
      </c>
      <c r="AK72" s="26">
        <f t="shared" si="64"/>
        <v>0</v>
      </c>
      <c r="AM72" s="27">
        <v>21</v>
      </c>
      <c r="AN72" s="27">
        <f t="shared" si="74"/>
        <v>0</v>
      </c>
      <c r="AO72" s="27">
        <f t="shared" si="75"/>
        <v>0</v>
      </c>
      <c r="AP72" s="28" t="s">
        <v>13</v>
      </c>
      <c r="AU72" s="27">
        <f t="shared" si="65"/>
        <v>0</v>
      </c>
      <c r="AV72" s="27">
        <f t="shared" si="66"/>
        <v>0</v>
      </c>
      <c r="AW72" s="27">
        <f t="shared" si="67"/>
        <v>0</v>
      </c>
      <c r="AX72" s="29" t="s">
        <v>785</v>
      </c>
      <c r="AY72" s="29" t="s">
        <v>793</v>
      </c>
      <c r="AZ72" s="17" t="s">
        <v>796</v>
      </c>
      <c r="BB72" s="27">
        <f t="shared" si="68"/>
        <v>0</v>
      </c>
      <c r="BC72" s="27">
        <f t="shared" si="69"/>
        <v>0</v>
      </c>
      <c r="BD72" s="27">
        <v>0</v>
      </c>
      <c r="BE72" s="27">
        <f t="shared" si="70"/>
        <v>0</v>
      </c>
      <c r="BG72" s="26">
        <f t="shared" si="71"/>
        <v>0</v>
      </c>
      <c r="BH72" s="26">
        <f t="shared" si="72"/>
        <v>0</v>
      </c>
      <c r="BI72" s="26">
        <f t="shared" si="73"/>
        <v>0</v>
      </c>
    </row>
    <row r="73" spans="1:61" ht="12.75" hidden="1">
      <c r="A73" s="24" t="s">
        <v>64</v>
      </c>
      <c r="B73" s="25"/>
      <c r="C73" s="25" t="s">
        <v>311</v>
      </c>
      <c r="D73" s="25" t="s">
        <v>558</v>
      </c>
      <c r="E73" s="25" t="s">
        <v>753</v>
      </c>
      <c r="F73" s="47">
        <v>0</v>
      </c>
      <c r="G73" s="26">
        <f>'Smluvní ceník'!G73</f>
        <v>0</v>
      </c>
      <c r="H73" s="26">
        <f t="shared" si="50"/>
        <v>0</v>
      </c>
      <c r="I73" s="26">
        <f t="shared" si="51"/>
        <v>0</v>
      </c>
      <c r="J73" s="26">
        <f t="shared" si="52"/>
        <v>0</v>
      </c>
      <c r="K73" s="26">
        <v>0</v>
      </c>
      <c r="L73" s="26">
        <f t="shared" si="53"/>
        <v>0</v>
      </c>
      <c r="Y73" s="27">
        <f t="shared" si="54"/>
        <v>0</v>
      </c>
      <c r="AA73" s="27">
        <f t="shared" si="55"/>
        <v>0</v>
      </c>
      <c r="AB73" s="27">
        <f t="shared" si="56"/>
        <v>0</v>
      </c>
      <c r="AC73" s="27">
        <f t="shared" si="57"/>
        <v>0</v>
      </c>
      <c r="AD73" s="27">
        <f t="shared" si="58"/>
        <v>0</v>
      </c>
      <c r="AE73" s="27">
        <f t="shared" si="59"/>
        <v>0</v>
      </c>
      <c r="AF73" s="27">
        <f t="shared" si="60"/>
        <v>0</v>
      </c>
      <c r="AG73" s="27">
        <f t="shared" si="61"/>
        <v>0</v>
      </c>
      <c r="AH73" s="17"/>
      <c r="AI73" s="26">
        <f t="shared" si="62"/>
        <v>0</v>
      </c>
      <c r="AJ73" s="26">
        <f t="shared" si="63"/>
        <v>0</v>
      </c>
      <c r="AK73" s="26">
        <f t="shared" si="64"/>
        <v>0</v>
      </c>
      <c r="AM73" s="27">
        <v>21</v>
      </c>
      <c r="AN73" s="27">
        <f t="shared" si="74"/>
        <v>0</v>
      </c>
      <c r="AO73" s="27">
        <f t="shared" si="75"/>
        <v>0</v>
      </c>
      <c r="AP73" s="28" t="s">
        <v>13</v>
      </c>
      <c r="AU73" s="27">
        <f t="shared" si="65"/>
        <v>0</v>
      </c>
      <c r="AV73" s="27">
        <f t="shared" si="66"/>
        <v>0</v>
      </c>
      <c r="AW73" s="27">
        <f t="shared" si="67"/>
        <v>0</v>
      </c>
      <c r="AX73" s="29" t="s">
        <v>785</v>
      </c>
      <c r="AY73" s="29" t="s">
        <v>793</v>
      </c>
      <c r="AZ73" s="17" t="s">
        <v>796</v>
      </c>
      <c r="BB73" s="27">
        <f t="shared" si="68"/>
        <v>0</v>
      </c>
      <c r="BC73" s="27">
        <f t="shared" si="69"/>
        <v>0</v>
      </c>
      <c r="BD73" s="27">
        <v>0</v>
      </c>
      <c r="BE73" s="27">
        <f t="shared" si="70"/>
        <v>0</v>
      </c>
      <c r="BG73" s="26">
        <f t="shared" si="71"/>
        <v>0</v>
      </c>
      <c r="BH73" s="26">
        <f t="shared" si="72"/>
        <v>0</v>
      </c>
      <c r="BI73" s="26">
        <f t="shared" si="73"/>
        <v>0</v>
      </c>
    </row>
    <row r="74" spans="1:61" ht="12.75" hidden="1">
      <c r="A74" s="24" t="s">
        <v>65</v>
      </c>
      <c r="B74" s="25"/>
      <c r="C74" s="25" t="s">
        <v>312</v>
      </c>
      <c r="D74" s="25" t="s">
        <v>559</v>
      </c>
      <c r="E74" s="25" t="s">
        <v>753</v>
      </c>
      <c r="F74" s="47">
        <v>0</v>
      </c>
      <c r="G74" s="26">
        <f>'Smluvní ceník'!G74</f>
        <v>0</v>
      </c>
      <c r="H74" s="26">
        <f t="shared" si="50"/>
        <v>0</v>
      </c>
      <c r="I74" s="26">
        <f t="shared" si="51"/>
        <v>0</v>
      </c>
      <c r="J74" s="26">
        <f t="shared" si="52"/>
        <v>0</v>
      </c>
      <c r="K74" s="26">
        <v>0</v>
      </c>
      <c r="L74" s="26">
        <f t="shared" si="53"/>
        <v>0</v>
      </c>
      <c r="Y74" s="27">
        <f t="shared" si="54"/>
        <v>0</v>
      </c>
      <c r="AA74" s="27">
        <f t="shared" si="55"/>
        <v>0</v>
      </c>
      <c r="AB74" s="27">
        <f t="shared" si="56"/>
        <v>0</v>
      </c>
      <c r="AC74" s="27">
        <f t="shared" si="57"/>
        <v>0</v>
      </c>
      <c r="AD74" s="27">
        <f t="shared" si="58"/>
        <v>0</v>
      </c>
      <c r="AE74" s="27">
        <f t="shared" si="59"/>
        <v>0</v>
      </c>
      <c r="AF74" s="27">
        <f t="shared" si="60"/>
        <v>0</v>
      </c>
      <c r="AG74" s="27">
        <f t="shared" si="61"/>
        <v>0</v>
      </c>
      <c r="AH74" s="17"/>
      <c r="AI74" s="26">
        <f t="shared" si="62"/>
        <v>0</v>
      </c>
      <c r="AJ74" s="26">
        <f t="shared" si="63"/>
        <v>0</v>
      </c>
      <c r="AK74" s="26">
        <f t="shared" si="64"/>
        <v>0</v>
      </c>
      <c r="AM74" s="27">
        <v>21</v>
      </c>
      <c r="AN74" s="27">
        <f t="shared" si="74"/>
        <v>0</v>
      </c>
      <c r="AO74" s="27">
        <f t="shared" si="75"/>
        <v>0</v>
      </c>
      <c r="AP74" s="28" t="s">
        <v>13</v>
      </c>
      <c r="AU74" s="27">
        <f t="shared" si="65"/>
        <v>0</v>
      </c>
      <c r="AV74" s="27">
        <f t="shared" si="66"/>
        <v>0</v>
      </c>
      <c r="AW74" s="27">
        <f t="shared" si="67"/>
        <v>0</v>
      </c>
      <c r="AX74" s="29" t="s">
        <v>785</v>
      </c>
      <c r="AY74" s="29" t="s">
        <v>793</v>
      </c>
      <c r="AZ74" s="17" t="s">
        <v>796</v>
      </c>
      <c r="BB74" s="27">
        <f t="shared" si="68"/>
        <v>0</v>
      </c>
      <c r="BC74" s="27">
        <f t="shared" si="69"/>
        <v>0</v>
      </c>
      <c r="BD74" s="27">
        <v>0</v>
      </c>
      <c r="BE74" s="27">
        <f t="shared" si="70"/>
        <v>0</v>
      </c>
      <c r="BG74" s="26">
        <f t="shared" si="71"/>
        <v>0</v>
      </c>
      <c r="BH74" s="26">
        <f t="shared" si="72"/>
        <v>0</v>
      </c>
      <c r="BI74" s="26">
        <f t="shared" si="73"/>
        <v>0</v>
      </c>
    </row>
    <row r="75" spans="1:61" ht="12.75" hidden="1">
      <c r="A75" s="24" t="s">
        <v>66</v>
      </c>
      <c r="B75" s="25"/>
      <c r="C75" s="25" t="s">
        <v>313</v>
      </c>
      <c r="D75" s="25" t="s">
        <v>560</v>
      </c>
      <c r="E75" s="25" t="s">
        <v>753</v>
      </c>
      <c r="F75" s="47">
        <v>0</v>
      </c>
      <c r="G75" s="26">
        <f>'Smluvní ceník'!G75</f>
        <v>0</v>
      </c>
      <c r="H75" s="26">
        <f t="shared" si="50"/>
        <v>0</v>
      </c>
      <c r="I75" s="26">
        <f t="shared" si="51"/>
        <v>0</v>
      </c>
      <c r="J75" s="26">
        <f t="shared" si="52"/>
        <v>0</v>
      </c>
      <c r="K75" s="26">
        <v>0</v>
      </c>
      <c r="L75" s="26">
        <f t="shared" si="53"/>
        <v>0</v>
      </c>
      <c r="Y75" s="27">
        <f t="shared" si="54"/>
        <v>0</v>
      </c>
      <c r="AA75" s="27">
        <f t="shared" si="55"/>
        <v>0</v>
      </c>
      <c r="AB75" s="27">
        <f t="shared" si="56"/>
        <v>0</v>
      </c>
      <c r="AC75" s="27">
        <f t="shared" si="57"/>
        <v>0</v>
      </c>
      <c r="AD75" s="27">
        <f t="shared" si="58"/>
        <v>0</v>
      </c>
      <c r="AE75" s="27">
        <f t="shared" si="59"/>
        <v>0</v>
      </c>
      <c r="AF75" s="27">
        <f t="shared" si="60"/>
        <v>0</v>
      </c>
      <c r="AG75" s="27">
        <f t="shared" si="61"/>
        <v>0</v>
      </c>
      <c r="AH75" s="17"/>
      <c r="AI75" s="26">
        <f t="shared" si="62"/>
        <v>0</v>
      </c>
      <c r="AJ75" s="26">
        <f t="shared" si="63"/>
        <v>0</v>
      </c>
      <c r="AK75" s="26">
        <f t="shared" si="64"/>
        <v>0</v>
      </c>
      <c r="AM75" s="27">
        <v>21</v>
      </c>
      <c r="AN75" s="27">
        <f t="shared" si="74"/>
        <v>0</v>
      </c>
      <c r="AO75" s="27">
        <f t="shared" si="75"/>
        <v>0</v>
      </c>
      <c r="AP75" s="28" t="s">
        <v>13</v>
      </c>
      <c r="AU75" s="27">
        <f t="shared" si="65"/>
        <v>0</v>
      </c>
      <c r="AV75" s="27">
        <f t="shared" si="66"/>
        <v>0</v>
      </c>
      <c r="AW75" s="27">
        <f t="shared" si="67"/>
        <v>0</v>
      </c>
      <c r="AX75" s="29" t="s">
        <v>785</v>
      </c>
      <c r="AY75" s="29" t="s">
        <v>793</v>
      </c>
      <c r="AZ75" s="17" t="s">
        <v>796</v>
      </c>
      <c r="BB75" s="27">
        <f t="shared" si="68"/>
        <v>0</v>
      </c>
      <c r="BC75" s="27">
        <f t="shared" si="69"/>
        <v>0</v>
      </c>
      <c r="BD75" s="27">
        <v>0</v>
      </c>
      <c r="BE75" s="27">
        <f t="shared" si="70"/>
        <v>0</v>
      </c>
      <c r="BG75" s="26">
        <f t="shared" si="71"/>
        <v>0</v>
      </c>
      <c r="BH75" s="26">
        <f t="shared" si="72"/>
        <v>0</v>
      </c>
      <c r="BI75" s="26">
        <f t="shared" si="73"/>
        <v>0</v>
      </c>
    </row>
    <row r="76" spans="1:61" ht="12.75" hidden="1">
      <c r="A76" s="24" t="s">
        <v>67</v>
      </c>
      <c r="B76" s="25"/>
      <c r="C76" s="25" t="s">
        <v>314</v>
      </c>
      <c r="D76" s="25" t="s">
        <v>561</v>
      </c>
      <c r="E76" s="25" t="s">
        <v>753</v>
      </c>
      <c r="F76" s="47">
        <v>0</v>
      </c>
      <c r="G76" s="26">
        <f>'Smluvní ceník'!G76</f>
        <v>0</v>
      </c>
      <c r="H76" s="26">
        <f t="shared" si="50"/>
        <v>0</v>
      </c>
      <c r="I76" s="26">
        <f t="shared" si="51"/>
        <v>0</v>
      </c>
      <c r="J76" s="26">
        <f t="shared" si="52"/>
        <v>0</v>
      </c>
      <c r="K76" s="26">
        <v>0</v>
      </c>
      <c r="L76" s="26">
        <f t="shared" si="53"/>
        <v>0</v>
      </c>
      <c r="Y76" s="27">
        <f t="shared" si="54"/>
        <v>0</v>
      </c>
      <c r="AA76" s="27">
        <f t="shared" si="55"/>
        <v>0</v>
      </c>
      <c r="AB76" s="27">
        <f t="shared" si="56"/>
        <v>0</v>
      </c>
      <c r="AC76" s="27">
        <f t="shared" si="57"/>
        <v>0</v>
      </c>
      <c r="AD76" s="27">
        <f t="shared" si="58"/>
        <v>0</v>
      </c>
      <c r="AE76" s="27">
        <f t="shared" si="59"/>
        <v>0</v>
      </c>
      <c r="AF76" s="27">
        <f t="shared" si="60"/>
        <v>0</v>
      </c>
      <c r="AG76" s="27">
        <f t="shared" si="61"/>
        <v>0</v>
      </c>
      <c r="AH76" s="17"/>
      <c r="AI76" s="26">
        <f t="shared" si="62"/>
        <v>0</v>
      </c>
      <c r="AJ76" s="26">
        <f t="shared" si="63"/>
        <v>0</v>
      </c>
      <c r="AK76" s="26">
        <f t="shared" si="64"/>
        <v>0</v>
      </c>
      <c r="AM76" s="27">
        <v>21</v>
      </c>
      <c r="AN76" s="27">
        <f t="shared" si="74"/>
        <v>0</v>
      </c>
      <c r="AO76" s="27">
        <f t="shared" si="75"/>
        <v>0</v>
      </c>
      <c r="AP76" s="28" t="s">
        <v>13</v>
      </c>
      <c r="AU76" s="27">
        <f t="shared" si="65"/>
        <v>0</v>
      </c>
      <c r="AV76" s="27">
        <f t="shared" si="66"/>
        <v>0</v>
      </c>
      <c r="AW76" s="27">
        <f t="shared" si="67"/>
        <v>0</v>
      </c>
      <c r="AX76" s="29" t="s">
        <v>785</v>
      </c>
      <c r="AY76" s="29" t="s">
        <v>793</v>
      </c>
      <c r="AZ76" s="17" t="s">
        <v>796</v>
      </c>
      <c r="BB76" s="27">
        <f t="shared" si="68"/>
        <v>0</v>
      </c>
      <c r="BC76" s="27">
        <f t="shared" si="69"/>
        <v>0</v>
      </c>
      <c r="BD76" s="27">
        <v>0</v>
      </c>
      <c r="BE76" s="27">
        <f t="shared" si="70"/>
        <v>0</v>
      </c>
      <c r="BG76" s="26">
        <f t="shared" si="71"/>
        <v>0</v>
      </c>
      <c r="BH76" s="26">
        <f t="shared" si="72"/>
        <v>0</v>
      </c>
      <c r="BI76" s="26">
        <f t="shared" si="73"/>
        <v>0</v>
      </c>
    </row>
    <row r="77" spans="1:61" ht="12.75" hidden="1">
      <c r="A77" s="24" t="s">
        <v>68</v>
      </c>
      <c r="B77" s="25"/>
      <c r="C77" s="25" t="s">
        <v>315</v>
      </c>
      <c r="D77" s="25" t="s">
        <v>562</v>
      </c>
      <c r="E77" s="25" t="s">
        <v>753</v>
      </c>
      <c r="F77" s="47">
        <v>0</v>
      </c>
      <c r="G77" s="26">
        <f>'Smluvní ceník'!G77</f>
        <v>0</v>
      </c>
      <c r="H77" s="26">
        <f aca="true" t="shared" si="76" ref="H77:H108">F77*AN77</f>
        <v>0</v>
      </c>
      <c r="I77" s="26">
        <f aca="true" t="shared" si="77" ref="I77:I108">F77*AO77</f>
        <v>0</v>
      </c>
      <c r="J77" s="26">
        <f aca="true" t="shared" si="78" ref="J77:J108">F77*G77</f>
        <v>0</v>
      </c>
      <c r="K77" s="26">
        <v>0</v>
      </c>
      <c r="L77" s="26">
        <f aca="true" t="shared" si="79" ref="L77:L108">F77*K77</f>
        <v>0</v>
      </c>
      <c r="Y77" s="27">
        <f aca="true" t="shared" si="80" ref="Y77:Y108">IF(AP77="5",BI77,0)</f>
        <v>0</v>
      </c>
      <c r="AA77" s="27">
        <f aca="true" t="shared" si="81" ref="AA77:AA108">IF(AP77="1",BG77,0)</f>
        <v>0</v>
      </c>
      <c r="AB77" s="27">
        <f aca="true" t="shared" si="82" ref="AB77:AB108">IF(AP77="1",BH77,0)</f>
        <v>0</v>
      </c>
      <c r="AC77" s="27">
        <f aca="true" t="shared" si="83" ref="AC77:AC108">IF(AP77="7",BG77,0)</f>
        <v>0</v>
      </c>
      <c r="AD77" s="27">
        <f aca="true" t="shared" si="84" ref="AD77:AD108">IF(AP77="7",BH77,0)</f>
        <v>0</v>
      </c>
      <c r="AE77" s="27">
        <f aca="true" t="shared" si="85" ref="AE77:AE108">IF(AP77="2",BG77,0)</f>
        <v>0</v>
      </c>
      <c r="AF77" s="27">
        <f aca="true" t="shared" si="86" ref="AF77:AF108">IF(AP77="2",BH77,0)</f>
        <v>0</v>
      </c>
      <c r="AG77" s="27">
        <f aca="true" t="shared" si="87" ref="AG77:AG108">IF(AP77="0",BI77,0)</f>
        <v>0</v>
      </c>
      <c r="AH77" s="17"/>
      <c r="AI77" s="26">
        <f aca="true" t="shared" si="88" ref="AI77:AI108">IF(AM77=0,J77,0)</f>
        <v>0</v>
      </c>
      <c r="AJ77" s="26">
        <f aca="true" t="shared" si="89" ref="AJ77:AJ108">IF(AM77=15,J77,0)</f>
        <v>0</v>
      </c>
      <c r="AK77" s="26">
        <f aca="true" t="shared" si="90" ref="AK77:AK108">IF(AM77=21,J77,0)</f>
        <v>0</v>
      </c>
      <c r="AM77" s="27">
        <v>21</v>
      </c>
      <c r="AN77" s="27">
        <f t="shared" si="74"/>
        <v>0</v>
      </c>
      <c r="AO77" s="27">
        <f t="shared" si="75"/>
        <v>0</v>
      </c>
      <c r="AP77" s="28" t="s">
        <v>13</v>
      </c>
      <c r="AU77" s="27">
        <f aca="true" t="shared" si="91" ref="AU77:AU108">AV77+AW77</f>
        <v>0</v>
      </c>
      <c r="AV77" s="27">
        <f aca="true" t="shared" si="92" ref="AV77:AV108">F77*AN77</f>
        <v>0</v>
      </c>
      <c r="AW77" s="27">
        <f aca="true" t="shared" si="93" ref="AW77:AW108">F77*AO77</f>
        <v>0</v>
      </c>
      <c r="AX77" s="29" t="s">
        <v>785</v>
      </c>
      <c r="AY77" s="29" t="s">
        <v>793</v>
      </c>
      <c r="AZ77" s="17" t="s">
        <v>796</v>
      </c>
      <c r="BB77" s="27">
        <f aca="true" t="shared" si="94" ref="BB77:BB108">AV77+AW77</f>
        <v>0</v>
      </c>
      <c r="BC77" s="27">
        <f aca="true" t="shared" si="95" ref="BC77:BC108">G77/(100-BD77)*100</f>
        <v>0</v>
      </c>
      <c r="BD77" s="27">
        <v>0</v>
      </c>
      <c r="BE77" s="27">
        <f aca="true" t="shared" si="96" ref="BE77:BE108">L77</f>
        <v>0</v>
      </c>
      <c r="BG77" s="26">
        <f aca="true" t="shared" si="97" ref="BG77:BG108">F77*AN77</f>
        <v>0</v>
      </c>
      <c r="BH77" s="26">
        <f aca="true" t="shared" si="98" ref="BH77:BH108">F77*AO77</f>
        <v>0</v>
      </c>
      <c r="BI77" s="26">
        <f aca="true" t="shared" si="99" ref="BI77:BI108">F77*G77</f>
        <v>0</v>
      </c>
    </row>
    <row r="78" spans="1:61" ht="12.75" hidden="1">
      <c r="A78" s="24" t="s">
        <v>69</v>
      </c>
      <c r="B78" s="25"/>
      <c r="C78" s="25" t="s">
        <v>316</v>
      </c>
      <c r="D78" s="25" t="s">
        <v>563</v>
      </c>
      <c r="E78" s="25" t="s">
        <v>753</v>
      </c>
      <c r="F78" s="47">
        <v>0</v>
      </c>
      <c r="G78" s="26">
        <f>'Smluvní ceník'!G78</f>
        <v>0</v>
      </c>
      <c r="H78" s="26">
        <f t="shared" si="76"/>
        <v>0</v>
      </c>
      <c r="I78" s="26">
        <f t="shared" si="77"/>
        <v>0</v>
      </c>
      <c r="J78" s="26">
        <f t="shared" si="78"/>
        <v>0</v>
      </c>
      <c r="K78" s="26">
        <v>0</v>
      </c>
      <c r="L78" s="26">
        <f t="shared" si="79"/>
        <v>0</v>
      </c>
      <c r="Y78" s="27">
        <f t="shared" si="80"/>
        <v>0</v>
      </c>
      <c r="AA78" s="27">
        <f t="shared" si="81"/>
        <v>0</v>
      </c>
      <c r="AB78" s="27">
        <f t="shared" si="82"/>
        <v>0</v>
      </c>
      <c r="AC78" s="27">
        <f t="shared" si="83"/>
        <v>0</v>
      </c>
      <c r="AD78" s="27">
        <f t="shared" si="84"/>
        <v>0</v>
      </c>
      <c r="AE78" s="27">
        <f t="shared" si="85"/>
        <v>0</v>
      </c>
      <c r="AF78" s="27">
        <f t="shared" si="86"/>
        <v>0</v>
      </c>
      <c r="AG78" s="27">
        <f t="shared" si="87"/>
        <v>0</v>
      </c>
      <c r="AH78" s="17"/>
      <c r="AI78" s="26">
        <f t="shared" si="88"/>
        <v>0</v>
      </c>
      <c r="AJ78" s="26">
        <f t="shared" si="89"/>
        <v>0</v>
      </c>
      <c r="AK78" s="26">
        <f t="shared" si="90"/>
        <v>0</v>
      </c>
      <c r="AM78" s="27">
        <v>21</v>
      </c>
      <c r="AN78" s="27">
        <f t="shared" si="74"/>
        <v>0</v>
      </c>
      <c r="AO78" s="27">
        <f t="shared" si="75"/>
        <v>0</v>
      </c>
      <c r="AP78" s="28" t="s">
        <v>13</v>
      </c>
      <c r="AU78" s="27">
        <f t="shared" si="91"/>
        <v>0</v>
      </c>
      <c r="AV78" s="27">
        <f t="shared" si="92"/>
        <v>0</v>
      </c>
      <c r="AW78" s="27">
        <f t="shared" si="93"/>
        <v>0</v>
      </c>
      <c r="AX78" s="29" t="s">
        <v>785</v>
      </c>
      <c r="AY78" s="29" t="s">
        <v>793</v>
      </c>
      <c r="AZ78" s="17" t="s">
        <v>796</v>
      </c>
      <c r="BB78" s="27">
        <f t="shared" si="94"/>
        <v>0</v>
      </c>
      <c r="BC78" s="27">
        <f t="shared" si="95"/>
        <v>0</v>
      </c>
      <c r="BD78" s="27">
        <v>0</v>
      </c>
      <c r="BE78" s="27">
        <f t="shared" si="96"/>
        <v>0</v>
      </c>
      <c r="BG78" s="26">
        <f t="shared" si="97"/>
        <v>0</v>
      </c>
      <c r="BH78" s="26">
        <f t="shared" si="98"/>
        <v>0</v>
      </c>
      <c r="BI78" s="26">
        <f t="shared" si="99"/>
        <v>0</v>
      </c>
    </row>
    <row r="79" spans="1:61" ht="12.75" hidden="1">
      <c r="A79" s="24" t="s">
        <v>70</v>
      </c>
      <c r="B79" s="25"/>
      <c r="C79" s="25" t="s">
        <v>317</v>
      </c>
      <c r="D79" s="25" t="s">
        <v>564</v>
      </c>
      <c r="E79" s="25" t="s">
        <v>753</v>
      </c>
      <c r="F79" s="47">
        <v>0</v>
      </c>
      <c r="G79" s="26">
        <f>'Smluvní ceník'!G79</f>
        <v>0</v>
      </c>
      <c r="H79" s="26">
        <f t="shared" si="76"/>
        <v>0</v>
      </c>
      <c r="I79" s="26">
        <f t="shared" si="77"/>
        <v>0</v>
      </c>
      <c r="J79" s="26">
        <f t="shared" si="78"/>
        <v>0</v>
      </c>
      <c r="K79" s="26">
        <v>0</v>
      </c>
      <c r="L79" s="26">
        <f t="shared" si="79"/>
        <v>0</v>
      </c>
      <c r="Y79" s="27">
        <f t="shared" si="80"/>
        <v>0</v>
      </c>
      <c r="AA79" s="27">
        <f t="shared" si="81"/>
        <v>0</v>
      </c>
      <c r="AB79" s="27">
        <f t="shared" si="82"/>
        <v>0</v>
      </c>
      <c r="AC79" s="27">
        <f t="shared" si="83"/>
        <v>0</v>
      </c>
      <c r="AD79" s="27">
        <f t="shared" si="84"/>
        <v>0</v>
      </c>
      <c r="AE79" s="27">
        <f t="shared" si="85"/>
        <v>0</v>
      </c>
      <c r="AF79" s="27">
        <f t="shared" si="86"/>
        <v>0</v>
      </c>
      <c r="AG79" s="27">
        <f t="shared" si="87"/>
        <v>0</v>
      </c>
      <c r="AH79" s="17"/>
      <c r="AI79" s="26">
        <f t="shared" si="88"/>
        <v>0</v>
      </c>
      <c r="AJ79" s="26">
        <f t="shared" si="89"/>
        <v>0</v>
      </c>
      <c r="AK79" s="26">
        <f t="shared" si="90"/>
        <v>0</v>
      </c>
      <c r="AM79" s="27">
        <v>21</v>
      </c>
      <c r="AN79" s="27">
        <f t="shared" si="74"/>
        <v>0</v>
      </c>
      <c r="AO79" s="27">
        <f t="shared" si="75"/>
        <v>0</v>
      </c>
      <c r="AP79" s="28" t="s">
        <v>13</v>
      </c>
      <c r="AU79" s="27">
        <f t="shared" si="91"/>
        <v>0</v>
      </c>
      <c r="AV79" s="27">
        <f t="shared" si="92"/>
        <v>0</v>
      </c>
      <c r="AW79" s="27">
        <f t="shared" si="93"/>
        <v>0</v>
      </c>
      <c r="AX79" s="29" t="s">
        <v>785</v>
      </c>
      <c r="AY79" s="29" t="s">
        <v>793</v>
      </c>
      <c r="AZ79" s="17" t="s">
        <v>796</v>
      </c>
      <c r="BB79" s="27">
        <f t="shared" si="94"/>
        <v>0</v>
      </c>
      <c r="BC79" s="27">
        <f t="shared" si="95"/>
        <v>0</v>
      </c>
      <c r="BD79" s="27">
        <v>0</v>
      </c>
      <c r="BE79" s="27">
        <f t="shared" si="96"/>
        <v>0</v>
      </c>
      <c r="BG79" s="26">
        <f t="shared" si="97"/>
        <v>0</v>
      </c>
      <c r="BH79" s="26">
        <f t="shared" si="98"/>
        <v>0</v>
      </c>
      <c r="BI79" s="26">
        <f t="shared" si="99"/>
        <v>0</v>
      </c>
    </row>
    <row r="80" spans="1:61" ht="12.75" hidden="1">
      <c r="A80" s="24" t="s">
        <v>71</v>
      </c>
      <c r="B80" s="25"/>
      <c r="C80" s="25" t="s">
        <v>318</v>
      </c>
      <c r="D80" s="25" t="s">
        <v>565</v>
      </c>
      <c r="E80" s="25" t="s">
        <v>753</v>
      </c>
      <c r="F80" s="47">
        <v>0</v>
      </c>
      <c r="G80" s="26">
        <f>'Smluvní ceník'!G80</f>
        <v>0</v>
      </c>
      <c r="H80" s="26">
        <f t="shared" si="76"/>
        <v>0</v>
      </c>
      <c r="I80" s="26">
        <f t="shared" si="77"/>
        <v>0</v>
      </c>
      <c r="J80" s="26">
        <f t="shared" si="78"/>
        <v>0</v>
      </c>
      <c r="K80" s="26">
        <v>0</v>
      </c>
      <c r="L80" s="26">
        <f t="shared" si="79"/>
        <v>0</v>
      </c>
      <c r="Y80" s="27">
        <f t="shared" si="80"/>
        <v>0</v>
      </c>
      <c r="AA80" s="27">
        <f t="shared" si="81"/>
        <v>0</v>
      </c>
      <c r="AB80" s="27">
        <f t="shared" si="82"/>
        <v>0</v>
      </c>
      <c r="AC80" s="27">
        <f t="shared" si="83"/>
        <v>0</v>
      </c>
      <c r="AD80" s="27">
        <f t="shared" si="84"/>
        <v>0</v>
      </c>
      <c r="AE80" s="27">
        <f t="shared" si="85"/>
        <v>0</v>
      </c>
      <c r="AF80" s="27">
        <f t="shared" si="86"/>
        <v>0</v>
      </c>
      <c r="AG80" s="27">
        <f t="shared" si="87"/>
        <v>0</v>
      </c>
      <c r="AH80" s="17"/>
      <c r="AI80" s="26">
        <f t="shared" si="88"/>
        <v>0</v>
      </c>
      <c r="AJ80" s="26">
        <f t="shared" si="89"/>
        <v>0</v>
      </c>
      <c r="AK80" s="26">
        <f t="shared" si="90"/>
        <v>0</v>
      </c>
      <c r="AM80" s="27">
        <v>21</v>
      </c>
      <c r="AN80" s="27">
        <f t="shared" si="74"/>
        <v>0</v>
      </c>
      <c r="AO80" s="27">
        <f t="shared" si="75"/>
        <v>0</v>
      </c>
      <c r="AP80" s="28" t="s">
        <v>13</v>
      </c>
      <c r="AU80" s="27">
        <f t="shared" si="91"/>
        <v>0</v>
      </c>
      <c r="AV80" s="27">
        <f t="shared" si="92"/>
        <v>0</v>
      </c>
      <c r="AW80" s="27">
        <f t="shared" si="93"/>
        <v>0</v>
      </c>
      <c r="AX80" s="29" t="s">
        <v>785</v>
      </c>
      <c r="AY80" s="29" t="s">
        <v>793</v>
      </c>
      <c r="AZ80" s="17" t="s">
        <v>796</v>
      </c>
      <c r="BB80" s="27">
        <f t="shared" si="94"/>
        <v>0</v>
      </c>
      <c r="BC80" s="27">
        <f t="shared" si="95"/>
        <v>0</v>
      </c>
      <c r="BD80" s="27">
        <v>0</v>
      </c>
      <c r="BE80" s="27">
        <f t="shared" si="96"/>
        <v>0</v>
      </c>
      <c r="BG80" s="26">
        <f t="shared" si="97"/>
        <v>0</v>
      </c>
      <c r="BH80" s="26">
        <f t="shared" si="98"/>
        <v>0</v>
      </c>
      <c r="BI80" s="26">
        <f t="shared" si="99"/>
        <v>0</v>
      </c>
    </row>
    <row r="81" spans="1:61" ht="12.75" hidden="1">
      <c r="A81" s="24" t="s">
        <v>72</v>
      </c>
      <c r="B81" s="25"/>
      <c r="C81" s="25" t="s">
        <v>319</v>
      </c>
      <c r="D81" s="25" t="s">
        <v>566</v>
      </c>
      <c r="E81" s="25" t="s">
        <v>753</v>
      </c>
      <c r="F81" s="47">
        <v>0</v>
      </c>
      <c r="G81" s="26">
        <f>'Smluvní ceník'!G81</f>
        <v>0</v>
      </c>
      <c r="H81" s="26">
        <f t="shared" si="76"/>
        <v>0</v>
      </c>
      <c r="I81" s="26">
        <f t="shared" si="77"/>
        <v>0</v>
      </c>
      <c r="J81" s="26">
        <f t="shared" si="78"/>
        <v>0</v>
      </c>
      <c r="K81" s="26">
        <v>0</v>
      </c>
      <c r="L81" s="26">
        <f t="shared" si="79"/>
        <v>0</v>
      </c>
      <c r="Y81" s="27">
        <f t="shared" si="80"/>
        <v>0</v>
      </c>
      <c r="AA81" s="27">
        <f t="shared" si="81"/>
        <v>0</v>
      </c>
      <c r="AB81" s="27">
        <f t="shared" si="82"/>
        <v>0</v>
      </c>
      <c r="AC81" s="27">
        <f t="shared" si="83"/>
        <v>0</v>
      </c>
      <c r="AD81" s="27">
        <f t="shared" si="84"/>
        <v>0</v>
      </c>
      <c r="AE81" s="27">
        <f t="shared" si="85"/>
        <v>0</v>
      </c>
      <c r="AF81" s="27">
        <f t="shared" si="86"/>
        <v>0</v>
      </c>
      <c r="AG81" s="27">
        <f t="shared" si="87"/>
        <v>0</v>
      </c>
      <c r="AH81" s="17"/>
      <c r="AI81" s="26">
        <f t="shared" si="88"/>
        <v>0</v>
      </c>
      <c r="AJ81" s="26">
        <f t="shared" si="89"/>
        <v>0</v>
      </c>
      <c r="AK81" s="26">
        <f t="shared" si="90"/>
        <v>0</v>
      </c>
      <c r="AM81" s="27">
        <v>21</v>
      </c>
      <c r="AN81" s="27">
        <f t="shared" si="74"/>
        <v>0</v>
      </c>
      <c r="AO81" s="27">
        <f t="shared" si="75"/>
        <v>0</v>
      </c>
      <c r="AP81" s="28" t="s">
        <v>13</v>
      </c>
      <c r="AU81" s="27">
        <f t="shared" si="91"/>
        <v>0</v>
      </c>
      <c r="AV81" s="27">
        <f t="shared" si="92"/>
        <v>0</v>
      </c>
      <c r="AW81" s="27">
        <f t="shared" si="93"/>
        <v>0</v>
      </c>
      <c r="AX81" s="29" t="s">
        <v>785</v>
      </c>
      <c r="AY81" s="29" t="s">
        <v>793</v>
      </c>
      <c r="AZ81" s="17" t="s">
        <v>796</v>
      </c>
      <c r="BB81" s="27">
        <f t="shared" si="94"/>
        <v>0</v>
      </c>
      <c r="BC81" s="27">
        <f t="shared" si="95"/>
        <v>0</v>
      </c>
      <c r="BD81" s="27">
        <v>0</v>
      </c>
      <c r="BE81" s="27">
        <f t="shared" si="96"/>
        <v>0</v>
      </c>
      <c r="BG81" s="26">
        <f t="shared" si="97"/>
        <v>0</v>
      </c>
      <c r="BH81" s="26">
        <f t="shared" si="98"/>
        <v>0</v>
      </c>
      <c r="BI81" s="26">
        <f t="shared" si="99"/>
        <v>0</v>
      </c>
    </row>
    <row r="82" spans="1:61" ht="12.75" hidden="1">
      <c r="A82" s="24" t="s">
        <v>73</v>
      </c>
      <c r="B82" s="25"/>
      <c r="C82" s="25" t="s">
        <v>320</v>
      </c>
      <c r="D82" s="25" t="s">
        <v>567</v>
      </c>
      <c r="E82" s="25" t="s">
        <v>753</v>
      </c>
      <c r="F82" s="47">
        <v>0</v>
      </c>
      <c r="G82" s="26">
        <f>'Smluvní ceník'!G82</f>
        <v>0</v>
      </c>
      <c r="H82" s="26">
        <f t="shared" si="76"/>
        <v>0</v>
      </c>
      <c r="I82" s="26">
        <f t="shared" si="77"/>
        <v>0</v>
      </c>
      <c r="J82" s="26">
        <f t="shared" si="78"/>
        <v>0</v>
      </c>
      <c r="K82" s="26">
        <v>0</v>
      </c>
      <c r="L82" s="26">
        <f t="shared" si="79"/>
        <v>0</v>
      </c>
      <c r="Y82" s="27">
        <f t="shared" si="80"/>
        <v>0</v>
      </c>
      <c r="AA82" s="27">
        <f t="shared" si="81"/>
        <v>0</v>
      </c>
      <c r="AB82" s="27">
        <f t="shared" si="82"/>
        <v>0</v>
      </c>
      <c r="AC82" s="27">
        <f t="shared" si="83"/>
        <v>0</v>
      </c>
      <c r="AD82" s="27">
        <f t="shared" si="84"/>
        <v>0</v>
      </c>
      <c r="AE82" s="27">
        <f t="shared" si="85"/>
        <v>0</v>
      </c>
      <c r="AF82" s="27">
        <f t="shared" si="86"/>
        <v>0</v>
      </c>
      <c r="AG82" s="27">
        <f t="shared" si="87"/>
        <v>0</v>
      </c>
      <c r="AH82" s="17"/>
      <c r="AI82" s="26">
        <f t="shared" si="88"/>
        <v>0</v>
      </c>
      <c r="AJ82" s="26">
        <f t="shared" si="89"/>
        <v>0</v>
      </c>
      <c r="AK82" s="26">
        <f t="shared" si="90"/>
        <v>0</v>
      </c>
      <c r="AM82" s="27">
        <v>21</v>
      </c>
      <c r="AN82" s="27">
        <f t="shared" si="74"/>
        <v>0</v>
      </c>
      <c r="AO82" s="27">
        <f t="shared" si="75"/>
        <v>0</v>
      </c>
      <c r="AP82" s="28" t="s">
        <v>13</v>
      </c>
      <c r="AU82" s="27">
        <f t="shared" si="91"/>
        <v>0</v>
      </c>
      <c r="AV82" s="27">
        <f t="shared" si="92"/>
        <v>0</v>
      </c>
      <c r="AW82" s="27">
        <f t="shared" si="93"/>
        <v>0</v>
      </c>
      <c r="AX82" s="29" t="s">
        <v>785</v>
      </c>
      <c r="AY82" s="29" t="s">
        <v>793</v>
      </c>
      <c r="AZ82" s="17" t="s">
        <v>796</v>
      </c>
      <c r="BB82" s="27">
        <f t="shared" si="94"/>
        <v>0</v>
      </c>
      <c r="BC82" s="27">
        <f t="shared" si="95"/>
        <v>0</v>
      </c>
      <c r="BD82" s="27">
        <v>0</v>
      </c>
      <c r="BE82" s="27">
        <f t="shared" si="96"/>
        <v>0</v>
      </c>
      <c r="BG82" s="26">
        <f t="shared" si="97"/>
        <v>0</v>
      </c>
      <c r="BH82" s="26">
        <f t="shared" si="98"/>
        <v>0</v>
      </c>
      <c r="BI82" s="26">
        <f t="shared" si="99"/>
        <v>0</v>
      </c>
    </row>
    <row r="83" spans="1:61" ht="12.75" hidden="1">
      <c r="A83" s="24" t="s">
        <v>74</v>
      </c>
      <c r="B83" s="25"/>
      <c r="C83" s="25" t="s">
        <v>321</v>
      </c>
      <c r="D83" s="25" t="s">
        <v>568</v>
      </c>
      <c r="E83" s="25" t="s">
        <v>753</v>
      </c>
      <c r="F83" s="47">
        <v>0</v>
      </c>
      <c r="G83" s="26">
        <f>'Smluvní ceník'!G83</f>
        <v>0</v>
      </c>
      <c r="H83" s="26">
        <f t="shared" si="76"/>
        <v>0</v>
      </c>
      <c r="I83" s="26">
        <f t="shared" si="77"/>
        <v>0</v>
      </c>
      <c r="J83" s="26">
        <f t="shared" si="78"/>
        <v>0</v>
      </c>
      <c r="K83" s="26">
        <v>0</v>
      </c>
      <c r="L83" s="26">
        <f t="shared" si="79"/>
        <v>0</v>
      </c>
      <c r="Y83" s="27">
        <f t="shared" si="80"/>
        <v>0</v>
      </c>
      <c r="AA83" s="27">
        <f t="shared" si="81"/>
        <v>0</v>
      </c>
      <c r="AB83" s="27">
        <f t="shared" si="82"/>
        <v>0</v>
      </c>
      <c r="AC83" s="27">
        <f t="shared" si="83"/>
        <v>0</v>
      </c>
      <c r="AD83" s="27">
        <f t="shared" si="84"/>
        <v>0</v>
      </c>
      <c r="AE83" s="27">
        <f t="shared" si="85"/>
        <v>0</v>
      </c>
      <c r="AF83" s="27">
        <f t="shared" si="86"/>
        <v>0</v>
      </c>
      <c r="AG83" s="27">
        <f t="shared" si="87"/>
        <v>0</v>
      </c>
      <c r="AH83" s="17"/>
      <c r="AI83" s="26">
        <f t="shared" si="88"/>
        <v>0</v>
      </c>
      <c r="AJ83" s="26">
        <f t="shared" si="89"/>
        <v>0</v>
      </c>
      <c r="AK83" s="26">
        <f t="shared" si="90"/>
        <v>0</v>
      </c>
      <c r="AM83" s="27">
        <v>21</v>
      </c>
      <c r="AN83" s="27">
        <f t="shared" si="74"/>
        <v>0</v>
      </c>
      <c r="AO83" s="27">
        <f t="shared" si="75"/>
        <v>0</v>
      </c>
      <c r="AP83" s="28" t="s">
        <v>13</v>
      </c>
      <c r="AU83" s="27">
        <f t="shared" si="91"/>
        <v>0</v>
      </c>
      <c r="AV83" s="27">
        <f t="shared" si="92"/>
        <v>0</v>
      </c>
      <c r="AW83" s="27">
        <f t="shared" si="93"/>
        <v>0</v>
      </c>
      <c r="AX83" s="29" t="s">
        <v>785</v>
      </c>
      <c r="AY83" s="29" t="s">
        <v>793</v>
      </c>
      <c r="AZ83" s="17" t="s">
        <v>796</v>
      </c>
      <c r="BB83" s="27">
        <f t="shared" si="94"/>
        <v>0</v>
      </c>
      <c r="BC83" s="27">
        <f t="shared" si="95"/>
        <v>0</v>
      </c>
      <c r="BD83" s="27">
        <v>0</v>
      </c>
      <c r="BE83" s="27">
        <f t="shared" si="96"/>
        <v>0</v>
      </c>
      <c r="BG83" s="26">
        <f t="shared" si="97"/>
        <v>0</v>
      </c>
      <c r="BH83" s="26">
        <f t="shared" si="98"/>
        <v>0</v>
      </c>
      <c r="BI83" s="26">
        <f t="shared" si="99"/>
        <v>0</v>
      </c>
    </row>
    <row r="84" spans="1:61" ht="12.75" hidden="1">
      <c r="A84" s="24" t="s">
        <v>75</v>
      </c>
      <c r="B84" s="25"/>
      <c r="C84" s="25" t="s">
        <v>322</v>
      </c>
      <c r="D84" s="25" t="s">
        <v>569</v>
      </c>
      <c r="E84" s="25" t="s">
        <v>753</v>
      </c>
      <c r="F84" s="47">
        <v>0</v>
      </c>
      <c r="G84" s="26">
        <f>'Smluvní ceník'!G84</f>
        <v>0</v>
      </c>
      <c r="H84" s="26">
        <f t="shared" si="76"/>
        <v>0</v>
      </c>
      <c r="I84" s="26">
        <f t="shared" si="77"/>
        <v>0</v>
      </c>
      <c r="J84" s="26">
        <f t="shared" si="78"/>
        <v>0</v>
      </c>
      <c r="K84" s="26">
        <v>0</v>
      </c>
      <c r="L84" s="26">
        <f t="shared" si="79"/>
        <v>0</v>
      </c>
      <c r="Y84" s="27">
        <f t="shared" si="80"/>
        <v>0</v>
      </c>
      <c r="AA84" s="27">
        <f t="shared" si="81"/>
        <v>0</v>
      </c>
      <c r="AB84" s="27">
        <f t="shared" si="82"/>
        <v>0</v>
      </c>
      <c r="AC84" s="27">
        <f t="shared" si="83"/>
        <v>0</v>
      </c>
      <c r="AD84" s="27">
        <f t="shared" si="84"/>
        <v>0</v>
      </c>
      <c r="AE84" s="27">
        <f t="shared" si="85"/>
        <v>0</v>
      </c>
      <c r="AF84" s="27">
        <f t="shared" si="86"/>
        <v>0</v>
      </c>
      <c r="AG84" s="27">
        <f t="shared" si="87"/>
        <v>0</v>
      </c>
      <c r="AH84" s="17"/>
      <c r="AI84" s="26">
        <f t="shared" si="88"/>
        <v>0</v>
      </c>
      <c r="AJ84" s="26">
        <f t="shared" si="89"/>
        <v>0</v>
      </c>
      <c r="AK84" s="26">
        <f t="shared" si="90"/>
        <v>0</v>
      </c>
      <c r="AM84" s="27">
        <v>21</v>
      </c>
      <c r="AN84" s="27">
        <f t="shared" si="74"/>
        <v>0</v>
      </c>
      <c r="AO84" s="27">
        <f t="shared" si="75"/>
        <v>0</v>
      </c>
      <c r="AP84" s="28" t="s">
        <v>13</v>
      </c>
      <c r="AU84" s="27">
        <f t="shared" si="91"/>
        <v>0</v>
      </c>
      <c r="AV84" s="27">
        <f t="shared" si="92"/>
        <v>0</v>
      </c>
      <c r="AW84" s="27">
        <f t="shared" si="93"/>
        <v>0</v>
      </c>
      <c r="AX84" s="29" t="s">
        <v>785</v>
      </c>
      <c r="AY84" s="29" t="s">
        <v>793</v>
      </c>
      <c r="AZ84" s="17" t="s">
        <v>796</v>
      </c>
      <c r="BB84" s="27">
        <f t="shared" si="94"/>
        <v>0</v>
      </c>
      <c r="BC84" s="27">
        <f t="shared" si="95"/>
        <v>0</v>
      </c>
      <c r="BD84" s="27">
        <v>0</v>
      </c>
      <c r="BE84" s="27">
        <f t="shared" si="96"/>
        <v>0</v>
      </c>
      <c r="BG84" s="26">
        <f t="shared" si="97"/>
        <v>0</v>
      </c>
      <c r="BH84" s="26">
        <f t="shared" si="98"/>
        <v>0</v>
      </c>
      <c r="BI84" s="26">
        <f t="shared" si="99"/>
        <v>0</v>
      </c>
    </row>
    <row r="85" spans="1:61" ht="12.75">
      <c r="A85" s="24" t="s">
        <v>76</v>
      </c>
      <c r="B85" s="25"/>
      <c r="C85" s="25" t="s">
        <v>323</v>
      </c>
      <c r="D85" s="25" t="s">
        <v>570</v>
      </c>
      <c r="E85" s="25" t="s">
        <v>753</v>
      </c>
      <c r="F85" s="47">
        <v>3</v>
      </c>
      <c r="G85" s="26">
        <f>'Smluvní ceník'!G85</f>
        <v>0</v>
      </c>
      <c r="H85" s="26">
        <f t="shared" si="76"/>
        <v>0</v>
      </c>
      <c r="I85" s="26">
        <f t="shared" si="77"/>
        <v>0</v>
      </c>
      <c r="J85" s="26">
        <f t="shared" si="78"/>
        <v>0</v>
      </c>
      <c r="K85" s="26">
        <v>1E-05</v>
      </c>
      <c r="L85" s="26">
        <f t="shared" si="79"/>
        <v>3.0000000000000004E-05</v>
      </c>
      <c r="Y85" s="27">
        <f t="shared" si="80"/>
        <v>0</v>
      </c>
      <c r="AA85" s="27">
        <f t="shared" si="81"/>
        <v>0</v>
      </c>
      <c r="AB85" s="27">
        <f t="shared" si="82"/>
        <v>0</v>
      </c>
      <c r="AC85" s="27">
        <f t="shared" si="83"/>
        <v>0</v>
      </c>
      <c r="AD85" s="27">
        <f t="shared" si="84"/>
        <v>0</v>
      </c>
      <c r="AE85" s="27">
        <f t="shared" si="85"/>
        <v>0</v>
      </c>
      <c r="AF85" s="27">
        <f t="shared" si="86"/>
        <v>0</v>
      </c>
      <c r="AG85" s="27">
        <f t="shared" si="87"/>
        <v>0</v>
      </c>
      <c r="AH85" s="17"/>
      <c r="AI85" s="26">
        <f t="shared" si="88"/>
        <v>0</v>
      </c>
      <c r="AJ85" s="26">
        <f t="shared" si="89"/>
        <v>0</v>
      </c>
      <c r="AK85" s="26">
        <f t="shared" si="90"/>
        <v>0</v>
      </c>
      <c r="AM85" s="27">
        <v>21</v>
      </c>
      <c r="AN85" s="27">
        <f>G85*0.0276394849785408</f>
        <v>0</v>
      </c>
      <c r="AO85" s="27">
        <f>G85*(1-0.0276394849785408)</f>
        <v>0</v>
      </c>
      <c r="AP85" s="28" t="s">
        <v>13</v>
      </c>
      <c r="AU85" s="27">
        <f t="shared" si="91"/>
        <v>0</v>
      </c>
      <c r="AV85" s="27">
        <f t="shared" si="92"/>
        <v>0</v>
      </c>
      <c r="AW85" s="27">
        <f t="shared" si="93"/>
        <v>0</v>
      </c>
      <c r="AX85" s="29" t="s">
        <v>785</v>
      </c>
      <c r="AY85" s="29" t="s">
        <v>793</v>
      </c>
      <c r="AZ85" s="17" t="s">
        <v>796</v>
      </c>
      <c r="BB85" s="27">
        <f t="shared" si="94"/>
        <v>0</v>
      </c>
      <c r="BC85" s="27">
        <f t="shared" si="95"/>
        <v>0</v>
      </c>
      <c r="BD85" s="27">
        <v>0</v>
      </c>
      <c r="BE85" s="27">
        <f t="shared" si="96"/>
        <v>3.0000000000000004E-05</v>
      </c>
      <c r="BG85" s="26">
        <f t="shared" si="97"/>
        <v>0</v>
      </c>
      <c r="BH85" s="26">
        <f t="shared" si="98"/>
        <v>0</v>
      </c>
      <c r="BI85" s="26">
        <f t="shared" si="99"/>
        <v>0</v>
      </c>
    </row>
    <row r="86" spans="1:61" ht="12.75" hidden="1">
      <c r="A86" s="24" t="s">
        <v>77</v>
      </c>
      <c r="B86" s="25"/>
      <c r="C86" s="25" t="s">
        <v>324</v>
      </c>
      <c r="D86" s="25" t="s">
        <v>571</v>
      </c>
      <c r="E86" s="25" t="s">
        <v>753</v>
      </c>
      <c r="F86" s="47">
        <v>0</v>
      </c>
      <c r="G86" s="26">
        <f>'Smluvní ceník'!G86</f>
        <v>0</v>
      </c>
      <c r="H86" s="26">
        <f t="shared" si="76"/>
        <v>0</v>
      </c>
      <c r="I86" s="26">
        <f t="shared" si="77"/>
        <v>0</v>
      </c>
      <c r="J86" s="26">
        <f t="shared" si="78"/>
        <v>0</v>
      </c>
      <c r="K86" s="26">
        <v>1E-05</v>
      </c>
      <c r="L86" s="26">
        <f t="shared" si="79"/>
        <v>0</v>
      </c>
      <c r="Y86" s="27">
        <f t="shared" si="80"/>
        <v>0</v>
      </c>
      <c r="AA86" s="27">
        <f t="shared" si="81"/>
        <v>0</v>
      </c>
      <c r="AB86" s="27">
        <f t="shared" si="82"/>
        <v>0</v>
      </c>
      <c r="AC86" s="27">
        <f t="shared" si="83"/>
        <v>0</v>
      </c>
      <c r="AD86" s="27">
        <f t="shared" si="84"/>
        <v>0</v>
      </c>
      <c r="AE86" s="27">
        <f t="shared" si="85"/>
        <v>0</v>
      </c>
      <c r="AF86" s="27">
        <f t="shared" si="86"/>
        <v>0</v>
      </c>
      <c r="AG86" s="27">
        <f t="shared" si="87"/>
        <v>0</v>
      </c>
      <c r="AH86" s="17"/>
      <c r="AI86" s="26">
        <f t="shared" si="88"/>
        <v>0</v>
      </c>
      <c r="AJ86" s="26">
        <f t="shared" si="89"/>
        <v>0</v>
      </c>
      <c r="AK86" s="26">
        <f t="shared" si="90"/>
        <v>0</v>
      </c>
      <c r="AM86" s="27">
        <v>21</v>
      </c>
      <c r="AN86" s="27">
        <f>G86*0.0257579393648508</f>
        <v>0</v>
      </c>
      <c r="AO86" s="27">
        <f>G86*(1-0.0257579393648508)</f>
        <v>0</v>
      </c>
      <c r="AP86" s="28" t="s">
        <v>13</v>
      </c>
      <c r="AU86" s="27">
        <f t="shared" si="91"/>
        <v>0</v>
      </c>
      <c r="AV86" s="27">
        <f t="shared" si="92"/>
        <v>0</v>
      </c>
      <c r="AW86" s="27">
        <f t="shared" si="93"/>
        <v>0</v>
      </c>
      <c r="AX86" s="29" t="s">
        <v>785</v>
      </c>
      <c r="AY86" s="29" t="s">
        <v>793</v>
      </c>
      <c r="AZ86" s="17" t="s">
        <v>796</v>
      </c>
      <c r="BB86" s="27">
        <f t="shared" si="94"/>
        <v>0</v>
      </c>
      <c r="BC86" s="27">
        <f t="shared" si="95"/>
        <v>0</v>
      </c>
      <c r="BD86" s="27">
        <v>0</v>
      </c>
      <c r="BE86" s="27">
        <f t="shared" si="96"/>
        <v>0</v>
      </c>
      <c r="BG86" s="26">
        <f t="shared" si="97"/>
        <v>0</v>
      </c>
      <c r="BH86" s="26">
        <f t="shared" si="98"/>
        <v>0</v>
      </c>
      <c r="BI86" s="26">
        <f t="shared" si="99"/>
        <v>0</v>
      </c>
    </row>
    <row r="87" spans="1:61" ht="12.75">
      <c r="A87" s="24" t="s">
        <v>78</v>
      </c>
      <c r="B87" s="25"/>
      <c r="C87" s="25" t="s">
        <v>325</v>
      </c>
      <c r="D87" s="25" t="s">
        <v>572</v>
      </c>
      <c r="E87" s="25" t="s">
        <v>753</v>
      </c>
      <c r="F87" s="47">
        <v>2</v>
      </c>
      <c r="G87" s="26">
        <f>'Smluvní ceník'!G87</f>
        <v>0</v>
      </c>
      <c r="H87" s="26">
        <f t="shared" si="76"/>
        <v>0</v>
      </c>
      <c r="I87" s="26">
        <f t="shared" si="77"/>
        <v>0</v>
      </c>
      <c r="J87" s="26">
        <f t="shared" si="78"/>
        <v>0</v>
      </c>
      <c r="K87" s="26">
        <v>2E-05</v>
      </c>
      <c r="L87" s="26">
        <f t="shared" si="79"/>
        <v>4E-05</v>
      </c>
      <c r="Y87" s="27">
        <f t="shared" si="80"/>
        <v>0</v>
      </c>
      <c r="AA87" s="27">
        <f t="shared" si="81"/>
        <v>0</v>
      </c>
      <c r="AB87" s="27">
        <f t="shared" si="82"/>
        <v>0</v>
      </c>
      <c r="AC87" s="27">
        <f t="shared" si="83"/>
        <v>0</v>
      </c>
      <c r="AD87" s="27">
        <f t="shared" si="84"/>
        <v>0</v>
      </c>
      <c r="AE87" s="27">
        <f t="shared" si="85"/>
        <v>0</v>
      </c>
      <c r="AF87" s="27">
        <f t="shared" si="86"/>
        <v>0</v>
      </c>
      <c r="AG87" s="27">
        <f t="shared" si="87"/>
        <v>0</v>
      </c>
      <c r="AH87" s="17"/>
      <c r="AI87" s="26">
        <f t="shared" si="88"/>
        <v>0</v>
      </c>
      <c r="AJ87" s="26">
        <f t="shared" si="89"/>
        <v>0</v>
      </c>
      <c r="AK87" s="26">
        <f t="shared" si="90"/>
        <v>0</v>
      </c>
      <c r="AM87" s="27">
        <v>21</v>
      </c>
      <c r="AN87" s="27">
        <f>G87*0.0406918238993711</f>
        <v>0</v>
      </c>
      <c r="AO87" s="27">
        <f>G87*(1-0.0406918238993711)</f>
        <v>0</v>
      </c>
      <c r="AP87" s="28" t="s">
        <v>13</v>
      </c>
      <c r="AU87" s="27">
        <f t="shared" si="91"/>
        <v>0</v>
      </c>
      <c r="AV87" s="27">
        <f t="shared" si="92"/>
        <v>0</v>
      </c>
      <c r="AW87" s="27">
        <f t="shared" si="93"/>
        <v>0</v>
      </c>
      <c r="AX87" s="29" t="s">
        <v>785</v>
      </c>
      <c r="AY87" s="29" t="s">
        <v>793</v>
      </c>
      <c r="AZ87" s="17" t="s">
        <v>796</v>
      </c>
      <c r="BB87" s="27">
        <f t="shared" si="94"/>
        <v>0</v>
      </c>
      <c r="BC87" s="27">
        <f t="shared" si="95"/>
        <v>0</v>
      </c>
      <c r="BD87" s="27">
        <v>0</v>
      </c>
      <c r="BE87" s="27">
        <f t="shared" si="96"/>
        <v>4E-05</v>
      </c>
      <c r="BG87" s="26">
        <f t="shared" si="97"/>
        <v>0</v>
      </c>
      <c r="BH87" s="26">
        <f t="shared" si="98"/>
        <v>0</v>
      </c>
      <c r="BI87" s="26">
        <f t="shared" si="99"/>
        <v>0</v>
      </c>
    </row>
    <row r="88" spans="1:61" ht="12.75" hidden="1">
      <c r="A88" s="24" t="s">
        <v>79</v>
      </c>
      <c r="B88" s="25"/>
      <c r="C88" s="25" t="s">
        <v>326</v>
      </c>
      <c r="D88" s="25" t="s">
        <v>573</v>
      </c>
      <c r="E88" s="25" t="s">
        <v>753</v>
      </c>
      <c r="F88" s="47">
        <v>0</v>
      </c>
      <c r="G88" s="26">
        <f>'Smluvní ceník'!G88</f>
        <v>0</v>
      </c>
      <c r="H88" s="26">
        <f t="shared" si="76"/>
        <v>0</v>
      </c>
      <c r="I88" s="26">
        <f t="shared" si="77"/>
        <v>0</v>
      </c>
      <c r="J88" s="26">
        <f t="shared" si="78"/>
        <v>0</v>
      </c>
      <c r="K88" s="26">
        <v>2E-05</v>
      </c>
      <c r="L88" s="26">
        <f t="shared" si="79"/>
        <v>0</v>
      </c>
      <c r="Y88" s="27">
        <f t="shared" si="80"/>
        <v>0</v>
      </c>
      <c r="AA88" s="27">
        <f t="shared" si="81"/>
        <v>0</v>
      </c>
      <c r="AB88" s="27">
        <f t="shared" si="82"/>
        <v>0</v>
      </c>
      <c r="AC88" s="27">
        <f t="shared" si="83"/>
        <v>0</v>
      </c>
      <c r="AD88" s="27">
        <f t="shared" si="84"/>
        <v>0</v>
      </c>
      <c r="AE88" s="27">
        <f t="shared" si="85"/>
        <v>0</v>
      </c>
      <c r="AF88" s="27">
        <f t="shared" si="86"/>
        <v>0</v>
      </c>
      <c r="AG88" s="27">
        <f t="shared" si="87"/>
        <v>0</v>
      </c>
      <c r="AH88" s="17"/>
      <c r="AI88" s="26">
        <f t="shared" si="88"/>
        <v>0</v>
      </c>
      <c r="AJ88" s="26">
        <f t="shared" si="89"/>
        <v>0</v>
      </c>
      <c r="AK88" s="26">
        <f t="shared" si="90"/>
        <v>0</v>
      </c>
      <c r="AM88" s="27">
        <v>21</v>
      </c>
      <c r="AN88" s="27">
        <f>G88*0.0386268656716418</f>
        <v>0</v>
      </c>
      <c r="AO88" s="27">
        <f>G88*(1-0.0386268656716418)</f>
        <v>0</v>
      </c>
      <c r="AP88" s="28" t="s">
        <v>13</v>
      </c>
      <c r="AU88" s="27">
        <f t="shared" si="91"/>
        <v>0</v>
      </c>
      <c r="AV88" s="27">
        <f t="shared" si="92"/>
        <v>0</v>
      </c>
      <c r="AW88" s="27">
        <f t="shared" si="93"/>
        <v>0</v>
      </c>
      <c r="AX88" s="29" t="s">
        <v>785</v>
      </c>
      <c r="AY88" s="29" t="s">
        <v>793</v>
      </c>
      <c r="AZ88" s="17" t="s">
        <v>796</v>
      </c>
      <c r="BB88" s="27">
        <f t="shared" si="94"/>
        <v>0</v>
      </c>
      <c r="BC88" s="27">
        <f t="shared" si="95"/>
        <v>0</v>
      </c>
      <c r="BD88" s="27">
        <v>0</v>
      </c>
      <c r="BE88" s="27">
        <f t="shared" si="96"/>
        <v>0</v>
      </c>
      <c r="BG88" s="26">
        <f t="shared" si="97"/>
        <v>0</v>
      </c>
      <c r="BH88" s="26">
        <f t="shared" si="98"/>
        <v>0</v>
      </c>
      <c r="BI88" s="26">
        <f t="shared" si="99"/>
        <v>0</v>
      </c>
    </row>
    <row r="89" spans="1:61" ht="12.75" hidden="1">
      <c r="A89" s="24" t="s">
        <v>80</v>
      </c>
      <c r="B89" s="25"/>
      <c r="C89" s="25" t="s">
        <v>327</v>
      </c>
      <c r="D89" s="25" t="s">
        <v>574</v>
      </c>
      <c r="E89" s="25" t="s">
        <v>751</v>
      </c>
      <c r="F89" s="47">
        <v>0</v>
      </c>
      <c r="G89" s="26">
        <f>'Smluvní ceník'!G89</f>
        <v>0</v>
      </c>
      <c r="H89" s="26">
        <f t="shared" si="76"/>
        <v>0</v>
      </c>
      <c r="I89" s="26">
        <f t="shared" si="77"/>
        <v>0</v>
      </c>
      <c r="J89" s="26">
        <f t="shared" si="78"/>
        <v>0</v>
      </c>
      <c r="K89" s="26">
        <v>0.00016</v>
      </c>
      <c r="L89" s="26">
        <f t="shared" si="79"/>
        <v>0</v>
      </c>
      <c r="Y89" s="27">
        <f t="shared" si="80"/>
        <v>0</v>
      </c>
      <c r="AA89" s="27">
        <f t="shared" si="81"/>
        <v>0</v>
      </c>
      <c r="AB89" s="27">
        <f t="shared" si="82"/>
        <v>0</v>
      </c>
      <c r="AC89" s="27">
        <f t="shared" si="83"/>
        <v>0</v>
      </c>
      <c r="AD89" s="27">
        <f t="shared" si="84"/>
        <v>0</v>
      </c>
      <c r="AE89" s="27">
        <f t="shared" si="85"/>
        <v>0</v>
      </c>
      <c r="AF89" s="27">
        <f t="shared" si="86"/>
        <v>0</v>
      </c>
      <c r="AG89" s="27">
        <f t="shared" si="87"/>
        <v>0</v>
      </c>
      <c r="AH89" s="17"/>
      <c r="AI89" s="26">
        <f t="shared" si="88"/>
        <v>0</v>
      </c>
      <c r="AJ89" s="26">
        <f t="shared" si="89"/>
        <v>0</v>
      </c>
      <c r="AK89" s="26">
        <f t="shared" si="90"/>
        <v>0</v>
      </c>
      <c r="AM89" s="27">
        <v>21</v>
      </c>
      <c r="AN89" s="27">
        <f>G89*0.129127165740438</f>
        <v>0</v>
      </c>
      <c r="AO89" s="27">
        <f>G89*(1-0.129127165740438)</f>
        <v>0</v>
      </c>
      <c r="AP89" s="28" t="s">
        <v>13</v>
      </c>
      <c r="AU89" s="27">
        <f t="shared" si="91"/>
        <v>0</v>
      </c>
      <c r="AV89" s="27">
        <f t="shared" si="92"/>
        <v>0</v>
      </c>
      <c r="AW89" s="27">
        <f t="shared" si="93"/>
        <v>0</v>
      </c>
      <c r="AX89" s="29" t="s">
        <v>785</v>
      </c>
      <c r="AY89" s="29" t="s">
        <v>793</v>
      </c>
      <c r="AZ89" s="17" t="s">
        <v>796</v>
      </c>
      <c r="BB89" s="27">
        <f t="shared" si="94"/>
        <v>0</v>
      </c>
      <c r="BC89" s="27">
        <f t="shared" si="95"/>
        <v>0</v>
      </c>
      <c r="BD89" s="27">
        <v>0</v>
      </c>
      <c r="BE89" s="27">
        <f t="shared" si="96"/>
        <v>0</v>
      </c>
      <c r="BG89" s="26">
        <f t="shared" si="97"/>
        <v>0</v>
      </c>
      <c r="BH89" s="26">
        <f t="shared" si="98"/>
        <v>0</v>
      </c>
      <c r="BI89" s="26">
        <f t="shared" si="99"/>
        <v>0</v>
      </c>
    </row>
    <row r="90" spans="1:61" ht="12.75" hidden="1">
      <c r="A90" s="24" t="s">
        <v>81</v>
      </c>
      <c r="B90" s="25"/>
      <c r="C90" s="25" t="s">
        <v>328</v>
      </c>
      <c r="D90" s="25" t="s">
        <v>575</v>
      </c>
      <c r="E90" s="25" t="s">
        <v>751</v>
      </c>
      <c r="F90" s="47">
        <v>0</v>
      </c>
      <c r="G90" s="26">
        <f>'Smluvní ceník'!G90</f>
        <v>0</v>
      </c>
      <c r="H90" s="26">
        <f t="shared" si="76"/>
        <v>0</v>
      </c>
      <c r="I90" s="26">
        <f t="shared" si="77"/>
        <v>0</v>
      </c>
      <c r="J90" s="26">
        <f t="shared" si="78"/>
        <v>0</v>
      </c>
      <c r="K90" s="26">
        <v>0.00016</v>
      </c>
      <c r="L90" s="26">
        <f t="shared" si="79"/>
        <v>0</v>
      </c>
      <c r="Y90" s="27">
        <f t="shared" si="80"/>
        <v>0</v>
      </c>
      <c r="AA90" s="27">
        <f t="shared" si="81"/>
        <v>0</v>
      </c>
      <c r="AB90" s="27">
        <f t="shared" si="82"/>
        <v>0</v>
      </c>
      <c r="AC90" s="27">
        <f t="shared" si="83"/>
        <v>0</v>
      </c>
      <c r="AD90" s="27">
        <f t="shared" si="84"/>
        <v>0</v>
      </c>
      <c r="AE90" s="27">
        <f t="shared" si="85"/>
        <v>0</v>
      </c>
      <c r="AF90" s="27">
        <f t="shared" si="86"/>
        <v>0</v>
      </c>
      <c r="AG90" s="27">
        <f t="shared" si="87"/>
        <v>0</v>
      </c>
      <c r="AH90" s="17"/>
      <c r="AI90" s="26">
        <f t="shared" si="88"/>
        <v>0</v>
      </c>
      <c r="AJ90" s="26">
        <f t="shared" si="89"/>
        <v>0</v>
      </c>
      <c r="AK90" s="26">
        <f t="shared" si="90"/>
        <v>0</v>
      </c>
      <c r="AM90" s="27">
        <v>21</v>
      </c>
      <c r="AN90" s="27">
        <f>G90*0.114492753623188</f>
        <v>0</v>
      </c>
      <c r="AO90" s="27">
        <f>G90*(1-0.114492753623188)</f>
        <v>0</v>
      </c>
      <c r="AP90" s="28" t="s">
        <v>13</v>
      </c>
      <c r="AU90" s="27">
        <f t="shared" si="91"/>
        <v>0</v>
      </c>
      <c r="AV90" s="27">
        <f t="shared" si="92"/>
        <v>0</v>
      </c>
      <c r="AW90" s="27">
        <f t="shared" si="93"/>
        <v>0</v>
      </c>
      <c r="AX90" s="29" t="s">
        <v>785</v>
      </c>
      <c r="AY90" s="29" t="s">
        <v>793</v>
      </c>
      <c r="AZ90" s="17" t="s">
        <v>796</v>
      </c>
      <c r="BB90" s="27">
        <f t="shared" si="94"/>
        <v>0</v>
      </c>
      <c r="BC90" s="27">
        <f t="shared" si="95"/>
        <v>0</v>
      </c>
      <c r="BD90" s="27">
        <v>0</v>
      </c>
      <c r="BE90" s="27">
        <f t="shared" si="96"/>
        <v>0</v>
      </c>
      <c r="BG90" s="26">
        <f t="shared" si="97"/>
        <v>0</v>
      </c>
      <c r="BH90" s="26">
        <f t="shared" si="98"/>
        <v>0</v>
      </c>
      <c r="BI90" s="26">
        <f t="shared" si="99"/>
        <v>0</v>
      </c>
    </row>
    <row r="91" spans="1:61" ht="12.75" hidden="1">
      <c r="A91" s="24" t="s">
        <v>82</v>
      </c>
      <c r="B91" s="25"/>
      <c r="C91" s="25" t="s">
        <v>329</v>
      </c>
      <c r="D91" s="25" t="s">
        <v>576</v>
      </c>
      <c r="E91" s="25" t="s">
        <v>751</v>
      </c>
      <c r="F91" s="47">
        <v>0</v>
      </c>
      <c r="G91" s="26">
        <f>'Smluvní ceník'!G91</f>
        <v>0</v>
      </c>
      <c r="H91" s="26">
        <f t="shared" si="76"/>
        <v>0</v>
      </c>
      <c r="I91" s="26">
        <f t="shared" si="77"/>
        <v>0</v>
      </c>
      <c r="J91" s="26">
        <f t="shared" si="78"/>
        <v>0</v>
      </c>
      <c r="K91" s="26">
        <v>0.00016</v>
      </c>
      <c r="L91" s="26">
        <f t="shared" si="79"/>
        <v>0</v>
      </c>
      <c r="Y91" s="27">
        <f t="shared" si="80"/>
        <v>0</v>
      </c>
      <c r="AA91" s="27">
        <f t="shared" si="81"/>
        <v>0</v>
      </c>
      <c r="AB91" s="27">
        <f t="shared" si="82"/>
        <v>0</v>
      </c>
      <c r="AC91" s="27">
        <f t="shared" si="83"/>
        <v>0</v>
      </c>
      <c r="AD91" s="27">
        <f t="shared" si="84"/>
        <v>0</v>
      </c>
      <c r="AE91" s="27">
        <f t="shared" si="85"/>
        <v>0</v>
      </c>
      <c r="AF91" s="27">
        <f t="shared" si="86"/>
        <v>0</v>
      </c>
      <c r="AG91" s="27">
        <f t="shared" si="87"/>
        <v>0</v>
      </c>
      <c r="AH91" s="17"/>
      <c r="AI91" s="26">
        <f t="shared" si="88"/>
        <v>0</v>
      </c>
      <c r="AJ91" s="26">
        <f t="shared" si="89"/>
        <v>0</v>
      </c>
      <c r="AK91" s="26">
        <f t="shared" si="90"/>
        <v>0</v>
      </c>
      <c r="AM91" s="27">
        <v>21</v>
      </c>
      <c r="AN91" s="27">
        <f>G91*0.1158357771261</f>
        <v>0</v>
      </c>
      <c r="AO91" s="27">
        <f>G91*(1-0.1158357771261)</f>
        <v>0</v>
      </c>
      <c r="AP91" s="28" t="s">
        <v>13</v>
      </c>
      <c r="AU91" s="27">
        <f t="shared" si="91"/>
        <v>0</v>
      </c>
      <c r="AV91" s="27">
        <f t="shared" si="92"/>
        <v>0</v>
      </c>
      <c r="AW91" s="27">
        <f t="shared" si="93"/>
        <v>0</v>
      </c>
      <c r="AX91" s="29" t="s">
        <v>785</v>
      </c>
      <c r="AY91" s="29" t="s">
        <v>793</v>
      </c>
      <c r="AZ91" s="17" t="s">
        <v>796</v>
      </c>
      <c r="BB91" s="27">
        <f t="shared" si="94"/>
        <v>0</v>
      </c>
      <c r="BC91" s="27">
        <f t="shared" si="95"/>
        <v>0</v>
      </c>
      <c r="BD91" s="27">
        <v>0</v>
      </c>
      <c r="BE91" s="27">
        <f t="shared" si="96"/>
        <v>0</v>
      </c>
      <c r="BG91" s="26">
        <f t="shared" si="97"/>
        <v>0</v>
      </c>
      <c r="BH91" s="26">
        <f t="shared" si="98"/>
        <v>0</v>
      </c>
      <c r="BI91" s="26">
        <f t="shared" si="99"/>
        <v>0</v>
      </c>
    </row>
    <row r="92" spans="1:61" ht="12.75" hidden="1">
      <c r="A92" s="24" t="s">
        <v>83</v>
      </c>
      <c r="B92" s="25"/>
      <c r="C92" s="25" t="s">
        <v>330</v>
      </c>
      <c r="D92" s="25" t="s">
        <v>577</v>
      </c>
      <c r="E92" s="25" t="s">
        <v>751</v>
      </c>
      <c r="F92" s="47">
        <v>0</v>
      </c>
      <c r="G92" s="26">
        <f>'Smluvní ceník'!G92</f>
        <v>0</v>
      </c>
      <c r="H92" s="26">
        <f t="shared" si="76"/>
        <v>0</v>
      </c>
      <c r="I92" s="26">
        <f t="shared" si="77"/>
        <v>0</v>
      </c>
      <c r="J92" s="26">
        <f t="shared" si="78"/>
        <v>0</v>
      </c>
      <c r="K92" s="26">
        <v>0.00016</v>
      </c>
      <c r="L92" s="26">
        <f t="shared" si="79"/>
        <v>0</v>
      </c>
      <c r="Y92" s="27">
        <f t="shared" si="80"/>
        <v>0</v>
      </c>
      <c r="AA92" s="27">
        <f t="shared" si="81"/>
        <v>0</v>
      </c>
      <c r="AB92" s="27">
        <f t="shared" si="82"/>
        <v>0</v>
      </c>
      <c r="AC92" s="27">
        <f t="shared" si="83"/>
        <v>0</v>
      </c>
      <c r="AD92" s="27">
        <f t="shared" si="84"/>
        <v>0</v>
      </c>
      <c r="AE92" s="27">
        <f t="shared" si="85"/>
        <v>0</v>
      </c>
      <c r="AF92" s="27">
        <f t="shared" si="86"/>
        <v>0</v>
      </c>
      <c r="AG92" s="27">
        <f t="shared" si="87"/>
        <v>0</v>
      </c>
      <c r="AH92" s="17"/>
      <c r="AI92" s="26">
        <f t="shared" si="88"/>
        <v>0</v>
      </c>
      <c r="AJ92" s="26">
        <f t="shared" si="89"/>
        <v>0</v>
      </c>
      <c r="AK92" s="26">
        <f t="shared" si="90"/>
        <v>0</v>
      </c>
      <c r="AM92" s="27">
        <v>21</v>
      </c>
      <c r="AN92" s="27">
        <f>G92*0.117210682492582</f>
        <v>0</v>
      </c>
      <c r="AO92" s="27">
        <f>G92*(1-0.117210682492582)</f>
        <v>0</v>
      </c>
      <c r="AP92" s="28" t="s">
        <v>13</v>
      </c>
      <c r="AU92" s="27">
        <f t="shared" si="91"/>
        <v>0</v>
      </c>
      <c r="AV92" s="27">
        <f t="shared" si="92"/>
        <v>0</v>
      </c>
      <c r="AW92" s="27">
        <f t="shared" si="93"/>
        <v>0</v>
      </c>
      <c r="AX92" s="29" t="s">
        <v>785</v>
      </c>
      <c r="AY92" s="29" t="s">
        <v>793</v>
      </c>
      <c r="AZ92" s="17" t="s">
        <v>796</v>
      </c>
      <c r="BB92" s="27">
        <f t="shared" si="94"/>
        <v>0</v>
      </c>
      <c r="BC92" s="27">
        <f t="shared" si="95"/>
        <v>0</v>
      </c>
      <c r="BD92" s="27">
        <v>0</v>
      </c>
      <c r="BE92" s="27">
        <f t="shared" si="96"/>
        <v>0</v>
      </c>
      <c r="BG92" s="26">
        <f t="shared" si="97"/>
        <v>0</v>
      </c>
      <c r="BH92" s="26">
        <f t="shared" si="98"/>
        <v>0</v>
      </c>
      <c r="BI92" s="26">
        <f t="shared" si="99"/>
        <v>0</v>
      </c>
    </row>
    <row r="93" spans="1:61" ht="12.75" hidden="1">
      <c r="A93" s="24" t="s">
        <v>84</v>
      </c>
      <c r="B93" s="25"/>
      <c r="C93" s="25" t="s">
        <v>331</v>
      </c>
      <c r="D93" s="25" t="s">
        <v>578</v>
      </c>
      <c r="E93" s="25" t="s">
        <v>751</v>
      </c>
      <c r="F93" s="47">
        <v>0</v>
      </c>
      <c r="G93" s="26">
        <f>'Smluvní ceník'!G93</f>
        <v>0</v>
      </c>
      <c r="H93" s="26">
        <f t="shared" si="76"/>
        <v>0</v>
      </c>
      <c r="I93" s="26">
        <f t="shared" si="77"/>
        <v>0</v>
      </c>
      <c r="J93" s="26">
        <f t="shared" si="78"/>
        <v>0</v>
      </c>
      <c r="K93" s="26">
        <v>0.00016</v>
      </c>
      <c r="L93" s="26">
        <f t="shared" si="79"/>
        <v>0</v>
      </c>
      <c r="Y93" s="27">
        <f t="shared" si="80"/>
        <v>0</v>
      </c>
      <c r="AA93" s="27">
        <f t="shared" si="81"/>
        <v>0</v>
      </c>
      <c r="AB93" s="27">
        <f t="shared" si="82"/>
        <v>0</v>
      </c>
      <c r="AC93" s="27">
        <f t="shared" si="83"/>
        <v>0</v>
      </c>
      <c r="AD93" s="27">
        <f t="shared" si="84"/>
        <v>0</v>
      </c>
      <c r="AE93" s="27">
        <f t="shared" si="85"/>
        <v>0</v>
      </c>
      <c r="AF93" s="27">
        <f t="shared" si="86"/>
        <v>0</v>
      </c>
      <c r="AG93" s="27">
        <f t="shared" si="87"/>
        <v>0</v>
      </c>
      <c r="AH93" s="17"/>
      <c r="AI93" s="26">
        <f t="shared" si="88"/>
        <v>0</v>
      </c>
      <c r="AJ93" s="26">
        <f t="shared" si="89"/>
        <v>0</v>
      </c>
      <c r="AK93" s="26">
        <f t="shared" si="90"/>
        <v>0</v>
      </c>
      <c r="AM93" s="27">
        <v>21</v>
      </c>
      <c r="AN93" s="27">
        <f>G93*0.103947368421053</f>
        <v>0</v>
      </c>
      <c r="AO93" s="27">
        <f>G93*(1-0.103947368421053)</f>
        <v>0</v>
      </c>
      <c r="AP93" s="28" t="s">
        <v>13</v>
      </c>
      <c r="AU93" s="27">
        <f t="shared" si="91"/>
        <v>0</v>
      </c>
      <c r="AV93" s="27">
        <f t="shared" si="92"/>
        <v>0</v>
      </c>
      <c r="AW93" s="27">
        <f t="shared" si="93"/>
        <v>0</v>
      </c>
      <c r="AX93" s="29" t="s">
        <v>785</v>
      </c>
      <c r="AY93" s="29" t="s">
        <v>793</v>
      </c>
      <c r="AZ93" s="17" t="s">
        <v>796</v>
      </c>
      <c r="BB93" s="27">
        <f t="shared" si="94"/>
        <v>0</v>
      </c>
      <c r="BC93" s="27">
        <f t="shared" si="95"/>
        <v>0</v>
      </c>
      <c r="BD93" s="27">
        <v>0</v>
      </c>
      <c r="BE93" s="27">
        <f t="shared" si="96"/>
        <v>0</v>
      </c>
      <c r="BG93" s="26">
        <f t="shared" si="97"/>
        <v>0</v>
      </c>
      <c r="BH93" s="26">
        <f t="shared" si="98"/>
        <v>0</v>
      </c>
      <c r="BI93" s="26">
        <f t="shared" si="99"/>
        <v>0</v>
      </c>
    </row>
    <row r="94" spans="1:61" ht="12.75" hidden="1">
      <c r="A94" s="24" t="s">
        <v>85</v>
      </c>
      <c r="B94" s="25"/>
      <c r="C94" s="25" t="s">
        <v>332</v>
      </c>
      <c r="D94" s="25" t="s">
        <v>579</v>
      </c>
      <c r="E94" s="25" t="s">
        <v>751</v>
      </c>
      <c r="F94" s="47">
        <v>0</v>
      </c>
      <c r="G94" s="26">
        <f>'Smluvní ceník'!G94</f>
        <v>0</v>
      </c>
      <c r="H94" s="26">
        <f t="shared" si="76"/>
        <v>0</v>
      </c>
      <c r="I94" s="26">
        <f t="shared" si="77"/>
        <v>0</v>
      </c>
      <c r="J94" s="26">
        <f t="shared" si="78"/>
        <v>0</v>
      </c>
      <c r="K94" s="26">
        <v>0.00016</v>
      </c>
      <c r="L94" s="26">
        <f t="shared" si="79"/>
        <v>0</v>
      </c>
      <c r="Y94" s="27">
        <f t="shared" si="80"/>
        <v>0</v>
      </c>
      <c r="AA94" s="27">
        <f t="shared" si="81"/>
        <v>0</v>
      </c>
      <c r="AB94" s="27">
        <f t="shared" si="82"/>
        <v>0</v>
      </c>
      <c r="AC94" s="27">
        <f t="shared" si="83"/>
        <v>0</v>
      </c>
      <c r="AD94" s="27">
        <f t="shared" si="84"/>
        <v>0</v>
      </c>
      <c r="AE94" s="27">
        <f t="shared" si="85"/>
        <v>0</v>
      </c>
      <c r="AF94" s="27">
        <f t="shared" si="86"/>
        <v>0</v>
      </c>
      <c r="AG94" s="27">
        <f t="shared" si="87"/>
        <v>0</v>
      </c>
      <c r="AH94" s="17"/>
      <c r="AI94" s="26">
        <f t="shared" si="88"/>
        <v>0</v>
      </c>
      <c r="AJ94" s="26">
        <f t="shared" si="89"/>
        <v>0</v>
      </c>
      <c r="AK94" s="26">
        <f t="shared" si="90"/>
        <v>0</v>
      </c>
      <c r="AM94" s="27">
        <v>21</v>
      </c>
      <c r="AN94" s="27">
        <f>G94*0.103947368421053</f>
        <v>0</v>
      </c>
      <c r="AO94" s="27">
        <f>G94*(1-0.103947368421053)</f>
        <v>0</v>
      </c>
      <c r="AP94" s="28" t="s">
        <v>13</v>
      </c>
      <c r="AU94" s="27">
        <f t="shared" si="91"/>
        <v>0</v>
      </c>
      <c r="AV94" s="27">
        <f t="shared" si="92"/>
        <v>0</v>
      </c>
      <c r="AW94" s="27">
        <f t="shared" si="93"/>
        <v>0</v>
      </c>
      <c r="AX94" s="29" t="s">
        <v>785</v>
      </c>
      <c r="AY94" s="29" t="s">
        <v>793</v>
      </c>
      <c r="AZ94" s="17" t="s">
        <v>796</v>
      </c>
      <c r="BB94" s="27">
        <f t="shared" si="94"/>
        <v>0</v>
      </c>
      <c r="BC94" s="27">
        <f t="shared" si="95"/>
        <v>0</v>
      </c>
      <c r="BD94" s="27">
        <v>0</v>
      </c>
      <c r="BE94" s="27">
        <f t="shared" si="96"/>
        <v>0</v>
      </c>
      <c r="BG94" s="26">
        <f t="shared" si="97"/>
        <v>0</v>
      </c>
      <c r="BH94" s="26">
        <f t="shared" si="98"/>
        <v>0</v>
      </c>
      <c r="BI94" s="26">
        <f t="shared" si="99"/>
        <v>0</v>
      </c>
    </row>
    <row r="95" spans="1:61" ht="12.75" hidden="1">
      <c r="A95" s="24" t="s">
        <v>86</v>
      </c>
      <c r="B95" s="25"/>
      <c r="C95" s="25" t="s">
        <v>333</v>
      </c>
      <c r="D95" s="25" t="s">
        <v>580</v>
      </c>
      <c r="E95" s="25" t="s">
        <v>751</v>
      </c>
      <c r="F95" s="47">
        <v>0</v>
      </c>
      <c r="G95" s="26">
        <f>'Smluvní ceník'!G95</f>
        <v>0</v>
      </c>
      <c r="H95" s="26">
        <f t="shared" si="76"/>
        <v>0</v>
      </c>
      <c r="I95" s="26">
        <f t="shared" si="77"/>
        <v>0</v>
      </c>
      <c r="J95" s="26">
        <f t="shared" si="78"/>
        <v>0</v>
      </c>
      <c r="K95" s="26">
        <v>0.00016</v>
      </c>
      <c r="L95" s="26">
        <f t="shared" si="79"/>
        <v>0</v>
      </c>
      <c r="Y95" s="27">
        <f t="shared" si="80"/>
        <v>0</v>
      </c>
      <c r="AA95" s="27">
        <f t="shared" si="81"/>
        <v>0</v>
      </c>
      <c r="AB95" s="27">
        <f t="shared" si="82"/>
        <v>0</v>
      </c>
      <c r="AC95" s="27">
        <f t="shared" si="83"/>
        <v>0</v>
      </c>
      <c r="AD95" s="27">
        <f t="shared" si="84"/>
        <v>0</v>
      </c>
      <c r="AE95" s="27">
        <f t="shared" si="85"/>
        <v>0</v>
      </c>
      <c r="AF95" s="27">
        <f t="shared" si="86"/>
        <v>0</v>
      </c>
      <c r="AG95" s="27">
        <f t="shared" si="87"/>
        <v>0</v>
      </c>
      <c r="AH95" s="17"/>
      <c r="AI95" s="26">
        <f t="shared" si="88"/>
        <v>0</v>
      </c>
      <c r="AJ95" s="26">
        <f t="shared" si="89"/>
        <v>0</v>
      </c>
      <c r="AK95" s="26">
        <f t="shared" si="90"/>
        <v>0</v>
      </c>
      <c r="AM95" s="27">
        <v>21</v>
      </c>
      <c r="AN95" s="27">
        <f>G95*0.0656146179401993</f>
        <v>0</v>
      </c>
      <c r="AO95" s="27">
        <f>G95*(1-0.0656146179401993)</f>
        <v>0</v>
      </c>
      <c r="AP95" s="28" t="s">
        <v>13</v>
      </c>
      <c r="AU95" s="27">
        <f t="shared" si="91"/>
        <v>0</v>
      </c>
      <c r="AV95" s="27">
        <f t="shared" si="92"/>
        <v>0</v>
      </c>
      <c r="AW95" s="27">
        <f t="shared" si="93"/>
        <v>0</v>
      </c>
      <c r="AX95" s="29" t="s">
        <v>785</v>
      </c>
      <c r="AY95" s="29" t="s">
        <v>793</v>
      </c>
      <c r="AZ95" s="17" t="s">
        <v>796</v>
      </c>
      <c r="BB95" s="27">
        <f t="shared" si="94"/>
        <v>0</v>
      </c>
      <c r="BC95" s="27">
        <f t="shared" si="95"/>
        <v>0</v>
      </c>
      <c r="BD95" s="27">
        <v>0</v>
      </c>
      <c r="BE95" s="27">
        <f t="shared" si="96"/>
        <v>0</v>
      </c>
      <c r="BG95" s="26">
        <f t="shared" si="97"/>
        <v>0</v>
      </c>
      <c r="BH95" s="26">
        <f t="shared" si="98"/>
        <v>0</v>
      </c>
      <c r="BI95" s="26">
        <f t="shared" si="99"/>
        <v>0</v>
      </c>
    </row>
    <row r="96" spans="1:61" ht="12.75" hidden="1">
      <c r="A96" s="24" t="s">
        <v>87</v>
      </c>
      <c r="B96" s="25"/>
      <c r="C96" s="25" t="s">
        <v>334</v>
      </c>
      <c r="D96" s="25" t="s">
        <v>581</v>
      </c>
      <c r="E96" s="25" t="s">
        <v>751</v>
      </c>
      <c r="F96" s="47">
        <v>0</v>
      </c>
      <c r="G96" s="26">
        <f>'Smluvní ceník'!G96</f>
        <v>0</v>
      </c>
      <c r="H96" s="26">
        <f t="shared" si="76"/>
        <v>0</v>
      </c>
      <c r="I96" s="26">
        <f t="shared" si="77"/>
        <v>0</v>
      </c>
      <c r="J96" s="26">
        <f t="shared" si="78"/>
        <v>0</v>
      </c>
      <c r="K96" s="26">
        <v>0.00016</v>
      </c>
      <c r="L96" s="26">
        <f t="shared" si="79"/>
        <v>0</v>
      </c>
      <c r="Y96" s="27">
        <f t="shared" si="80"/>
        <v>0</v>
      </c>
      <c r="AA96" s="27">
        <f t="shared" si="81"/>
        <v>0</v>
      </c>
      <c r="AB96" s="27">
        <f t="shared" si="82"/>
        <v>0</v>
      </c>
      <c r="AC96" s="27">
        <f t="shared" si="83"/>
        <v>0</v>
      </c>
      <c r="AD96" s="27">
        <f t="shared" si="84"/>
        <v>0</v>
      </c>
      <c r="AE96" s="27">
        <f t="shared" si="85"/>
        <v>0</v>
      </c>
      <c r="AF96" s="27">
        <f t="shared" si="86"/>
        <v>0</v>
      </c>
      <c r="AG96" s="27">
        <f t="shared" si="87"/>
        <v>0</v>
      </c>
      <c r="AH96" s="17"/>
      <c r="AI96" s="26">
        <f t="shared" si="88"/>
        <v>0</v>
      </c>
      <c r="AJ96" s="26">
        <f t="shared" si="89"/>
        <v>0</v>
      </c>
      <c r="AK96" s="26">
        <f t="shared" si="90"/>
        <v>0</v>
      </c>
      <c r="AM96" s="27">
        <v>21</v>
      </c>
      <c r="AN96" s="27">
        <f>G96*0.0459837019790454</f>
        <v>0</v>
      </c>
      <c r="AO96" s="27">
        <f>G96*(1-0.0459837019790454)</f>
        <v>0</v>
      </c>
      <c r="AP96" s="28" t="s">
        <v>13</v>
      </c>
      <c r="AU96" s="27">
        <f t="shared" si="91"/>
        <v>0</v>
      </c>
      <c r="AV96" s="27">
        <f t="shared" si="92"/>
        <v>0</v>
      </c>
      <c r="AW96" s="27">
        <f t="shared" si="93"/>
        <v>0</v>
      </c>
      <c r="AX96" s="29" t="s">
        <v>785</v>
      </c>
      <c r="AY96" s="29" t="s">
        <v>793</v>
      </c>
      <c r="AZ96" s="17" t="s">
        <v>796</v>
      </c>
      <c r="BB96" s="27">
        <f t="shared" si="94"/>
        <v>0</v>
      </c>
      <c r="BC96" s="27">
        <f t="shared" si="95"/>
        <v>0</v>
      </c>
      <c r="BD96" s="27">
        <v>0</v>
      </c>
      <c r="BE96" s="27">
        <f t="shared" si="96"/>
        <v>0</v>
      </c>
      <c r="BG96" s="26">
        <f t="shared" si="97"/>
        <v>0</v>
      </c>
      <c r="BH96" s="26">
        <f t="shared" si="98"/>
        <v>0</v>
      </c>
      <c r="BI96" s="26">
        <f t="shared" si="99"/>
        <v>0</v>
      </c>
    </row>
    <row r="97" spans="1:61" ht="12.75">
      <c r="A97" s="24" t="s">
        <v>88</v>
      </c>
      <c r="B97" s="25"/>
      <c r="C97" s="25" t="s">
        <v>335</v>
      </c>
      <c r="D97" s="25" t="s">
        <v>582</v>
      </c>
      <c r="E97" s="25" t="s">
        <v>753</v>
      </c>
      <c r="F97" s="47">
        <v>6</v>
      </c>
      <c r="G97" s="26">
        <f>'Smluvní ceník'!G97</f>
        <v>0</v>
      </c>
      <c r="H97" s="26">
        <f t="shared" si="76"/>
        <v>0</v>
      </c>
      <c r="I97" s="26">
        <f t="shared" si="77"/>
        <v>0</v>
      </c>
      <c r="J97" s="26">
        <f t="shared" si="78"/>
        <v>0</v>
      </c>
      <c r="K97" s="26">
        <v>0</v>
      </c>
      <c r="L97" s="26">
        <f t="shared" si="79"/>
        <v>0</v>
      </c>
      <c r="Y97" s="27">
        <f t="shared" si="80"/>
        <v>0</v>
      </c>
      <c r="AA97" s="27">
        <f t="shared" si="81"/>
        <v>0</v>
      </c>
      <c r="AB97" s="27">
        <f t="shared" si="82"/>
        <v>0</v>
      </c>
      <c r="AC97" s="27">
        <f t="shared" si="83"/>
        <v>0</v>
      </c>
      <c r="AD97" s="27">
        <f t="shared" si="84"/>
        <v>0</v>
      </c>
      <c r="AE97" s="27">
        <f t="shared" si="85"/>
        <v>0</v>
      </c>
      <c r="AF97" s="27">
        <f t="shared" si="86"/>
        <v>0</v>
      </c>
      <c r="AG97" s="27">
        <f t="shared" si="87"/>
        <v>0</v>
      </c>
      <c r="AH97" s="17"/>
      <c r="AI97" s="26">
        <f t="shared" si="88"/>
        <v>0</v>
      </c>
      <c r="AJ97" s="26">
        <f t="shared" si="89"/>
        <v>0</v>
      </c>
      <c r="AK97" s="26">
        <f t="shared" si="90"/>
        <v>0</v>
      </c>
      <c r="AM97" s="27">
        <v>21</v>
      </c>
      <c r="AN97" s="27">
        <f aca="true" t="shared" si="100" ref="AN97:AN105">G97*0</f>
        <v>0</v>
      </c>
      <c r="AO97" s="27">
        <f aca="true" t="shared" si="101" ref="AO97:AO105">G97*(1-0)</f>
        <v>0</v>
      </c>
      <c r="AP97" s="28" t="s">
        <v>13</v>
      </c>
      <c r="AU97" s="27">
        <f t="shared" si="91"/>
        <v>0</v>
      </c>
      <c r="AV97" s="27">
        <f t="shared" si="92"/>
        <v>0</v>
      </c>
      <c r="AW97" s="27">
        <f t="shared" si="93"/>
        <v>0</v>
      </c>
      <c r="AX97" s="29" t="s">
        <v>785</v>
      </c>
      <c r="AY97" s="29" t="s">
        <v>793</v>
      </c>
      <c r="AZ97" s="17" t="s">
        <v>796</v>
      </c>
      <c r="BB97" s="27">
        <f t="shared" si="94"/>
        <v>0</v>
      </c>
      <c r="BC97" s="27">
        <f t="shared" si="95"/>
        <v>0</v>
      </c>
      <c r="BD97" s="27">
        <v>0</v>
      </c>
      <c r="BE97" s="27">
        <f t="shared" si="96"/>
        <v>0</v>
      </c>
      <c r="BG97" s="26">
        <f t="shared" si="97"/>
        <v>0</v>
      </c>
      <c r="BH97" s="26">
        <f t="shared" si="98"/>
        <v>0</v>
      </c>
      <c r="BI97" s="26">
        <f t="shared" si="99"/>
        <v>0</v>
      </c>
    </row>
    <row r="98" spans="1:61" ht="12.75">
      <c r="A98" s="24" t="s">
        <v>89</v>
      </c>
      <c r="B98" s="25"/>
      <c r="C98" s="25" t="s">
        <v>336</v>
      </c>
      <c r="D98" s="25" t="s">
        <v>583</v>
      </c>
      <c r="E98" s="25" t="s">
        <v>753</v>
      </c>
      <c r="F98" s="47">
        <v>3</v>
      </c>
      <c r="G98" s="26">
        <f>'Smluvní ceník'!G98</f>
        <v>0</v>
      </c>
      <c r="H98" s="26">
        <f t="shared" si="76"/>
        <v>0</v>
      </c>
      <c r="I98" s="26">
        <f t="shared" si="77"/>
        <v>0</v>
      </c>
      <c r="J98" s="26">
        <f t="shared" si="78"/>
        <v>0</v>
      </c>
      <c r="K98" s="26">
        <v>0</v>
      </c>
      <c r="L98" s="26">
        <f t="shared" si="79"/>
        <v>0</v>
      </c>
      <c r="Y98" s="27">
        <f t="shared" si="80"/>
        <v>0</v>
      </c>
      <c r="AA98" s="27">
        <f t="shared" si="81"/>
        <v>0</v>
      </c>
      <c r="AB98" s="27">
        <f t="shared" si="82"/>
        <v>0</v>
      </c>
      <c r="AC98" s="27">
        <f t="shared" si="83"/>
        <v>0</v>
      </c>
      <c r="AD98" s="27">
        <f t="shared" si="84"/>
        <v>0</v>
      </c>
      <c r="AE98" s="27">
        <f t="shared" si="85"/>
        <v>0</v>
      </c>
      <c r="AF98" s="27">
        <f t="shared" si="86"/>
        <v>0</v>
      </c>
      <c r="AG98" s="27">
        <f t="shared" si="87"/>
        <v>0</v>
      </c>
      <c r="AH98" s="17"/>
      <c r="AI98" s="26">
        <f t="shared" si="88"/>
        <v>0</v>
      </c>
      <c r="AJ98" s="26">
        <f t="shared" si="89"/>
        <v>0</v>
      </c>
      <c r="AK98" s="26">
        <f t="shared" si="90"/>
        <v>0</v>
      </c>
      <c r="AM98" s="27">
        <v>21</v>
      </c>
      <c r="AN98" s="27">
        <f t="shared" si="100"/>
        <v>0</v>
      </c>
      <c r="AO98" s="27">
        <f t="shared" si="101"/>
        <v>0</v>
      </c>
      <c r="AP98" s="28" t="s">
        <v>13</v>
      </c>
      <c r="AU98" s="27">
        <f t="shared" si="91"/>
        <v>0</v>
      </c>
      <c r="AV98" s="27">
        <f t="shared" si="92"/>
        <v>0</v>
      </c>
      <c r="AW98" s="27">
        <f t="shared" si="93"/>
        <v>0</v>
      </c>
      <c r="AX98" s="29" t="s">
        <v>785</v>
      </c>
      <c r="AY98" s="29" t="s">
        <v>793</v>
      </c>
      <c r="AZ98" s="17" t="s">
        <v>796</v>
      </c>
      <c r="BB98" s="27">
        <f t="shared" si="94"/>
        <v>0</v>
      </c>
      <c r="BC98" s="27">
        <f t="shared" si="95"/>
        <v>0</v>
      </c>
      <c r="BD98" s="27">
        <v>0</v>
      </c>
      <c r="BE98" s="27">
        <f t="shared" si="96"/>
        <v>0</v>
      </c>
      <c r="BG98" s="26">
        <f t="shared" si="97"/>
        <v>0</v>
      </c>
      <c r="BH98" s="26">
        <f t="shared" si="98"/>
        <v>0</v>
      </c>
      <c r="BI98" s="26">
        <f t="shared" si="99"/>
        <v>0</v>
      </c>
    </row>
    <row r="99" spans="1:61" ht="12.75" hidden="1">
      <c r="A99" s="24" t="s">
        <v>90</v>
      </c>
      <c r="B99" s="25"/>
      <c r="C99" s="25" t="s">
        <v>337</v>
      </c>
      <c r="D99" s="25" t="s">
        <v>584</v>
      </c>
      <c r="E99" s="25" t="s">
        <v>753</v>
      </c>
      <c r="F99" s="47">
        <v>0</v>
      </c>
      <c r="G99" s="26">
        <f>'Smluvní ceník'!G99</f>
        <v>0</v>
      </c>
      <c r="H99" s="26">
        <f t="shared" si="76"/>
        <v>0</v>
      </c>
      <c r="I99" s="26">
        <f t="shared" si="77"/>
        <v>0</v>
      </c>
      <c r="J99" s="26">
        <f t="shared" si="78"/>
        <v>0</v>
      </c>
      <c r="K99" s="26">
        <v>0</v>
      </c>
      <c r="L99" s="26">
        <f t="shared" si="79"/>
        <v>0</v>
      </c>
      <c r="Y99" s="27">
        <f t="shared" si="80"/>
        <v>0</v>
      </c>
      <c r="AA99" s="27">
        <f t="shared" si="81"/>
        <v>0</v>
      </c>
      <c r="AB99" s="27">
        <f t="shared" si="82"/>
        <v>0</v>
      </c>
      <c r="AC99" s="27">
        <f t="shared" si="83"/>
        <v>0</v>
      </c>
      <c r="AD99" s="27">
        <f t="shared" si="84"/>
        <v>0</v>
      </c>
      <c r="AE99" s="27">
        <f t="shared" si="85"/>
        <v>0</v>
      </c>
      <c r="AF99" s="27">
        <f t="shared" si="86"/>
        <v>0</v>
      </c>
      <c r="AG99" s="27">
        <f t="shared" si="87"/>
        <v>0</v>
      </c>
      <c r="AH99" s="17"/>
      <c r="AI99" s="26">
        <f t="shared" si="88"/>
        <v>0</v>
      </c>
      <c r="AJ99" s="26">
        <f t="shared" si="89"/>
        <v>0</v>
      </c>
      <c r="AK99" s="26">
        <f t="shared" si="90"/>
        <v>0</v>
      </c>
      <c r="AM99" s="27">
        <v>21</v>
      </c>
      <c r="AN99" s="27">
        <f t="shared" si="100"/>
        <v>0</v>
      </c>
      <c r="AO99" s="27">
        <f t="shared" si="101"/>
        <v>0</v>
      </c>
      <c r="AP99" s="28" t="s">
        <v>13</v>
      </c>
      <c r="AU99" s="27">
        <f t="shared" si="91"/>
        <v>0</v>
      </c>
      <c r="AV99" s="27">
        <f t="shared" si="92"/>
        <v>0</v>
      </c>
      <c r="AW99" s="27">
        <f t="shared" si="93"/>
        <v>0</v>
      </c>
      <c r="AX99" s="29" t="s">
        <v>785</v>
      </c>
      <c r="AY99" s="29" t="s">
        <v>793</v>
      </c>
      <c r="AZ99" s="17" t="s">
        <v>796</v>
      </c>
      <c r="BB99" s="27">
        <f t="shared" si="94"/>
        <v>0</v>
      </c>
      <c r="BC99" s="27">
        <f t="shared" si="95"/>
        <v>0</v>
      </c>
      <c r="BD99" s="27">
        <v>0</v>
      </c>
      <c r="BE99" s="27">
        <f t="shared" si="96"/>
        <v>0</v>
      </c>
      <c r="BG99" s="26">
        <f t="shared" si="97"/>
        <v>0</v>
      </c>
      <c r="BH99" s="26">
        <f t="shared" si="98"/>
        <v>0</v>
      </c>
      <c r="BI99" s="26">
        <f t="shared" si="99"/>
        <v>0</v>
      </c>
    </row>
    <row r="100" spans="1:61" ht="12.75">
      <c r="A100" s="24" t="s">
        <v>91</v>
      </c>
      <c r="B100" s="25"/>
      <c r="C100" s="25" t="s">
        <v>338</v>
      </c>
      <c r="D100" s="25" t="s">
        <v>585</v>
      </c>
      <c r="E100" s="25" t="s">
        <v>753</v>
      </c>
      <c r="F100" s="47">
        <v>2</v>
      </c>
      <c r="G100" s="26">
        <f>'Smluvní ceník'!G100</f>
        <v>0</v>
      </c>
      <c r="H100" s="26">
        <f t="shared" si="76"/>
        <v>0</v>
      </c>
      <c r="I100" s="26">
        <f t="shared" si="77"/>
        <v>0</v>
      </c>
      <c r="J100" s="26">
        <f t="shared" si="78"/>
        <v>0</v>
      </c>
      <c r="K100" s="26">
        <v>0</v>
      </c>
      <c r="L100" s="26">
        <f t="shared" si="79"/>
        <v>0</v>
      </c>
      <c r="Y100" s="27">
        <f t="shared" si="80"/>
        <v>0</v>
      </c>
      <c r="AA100" s="27">
        <f t="shared" si="81"/>
        <v>0</v>
      </c>
      <c r="AB100" s="27">
        <f t="shared" si="82"/>
        <v>0</v>
      </c>
      <c r="AC100" s="27">
        <f t="shared" si="83"/>
        <v>0</v>
      </c>
      <c r="AD100" s="27">
        <f t="shared" si="84"/>
        <v>0</v>
      </c>
      <c r="AE100" s="27">
        <f t="shared" si="85"/>
        <v>0</v>
      </c>
      <c r="AF100" s="27">
        <f t="shared" si="86"/>
        <v>0</v>
      </c>
      <c r="AG100" s="27">
        <f t="shared" si="87"/>
        <v>0</v>
      </c>
      <c r="AH100" s="17"/>
      <c r="AI100" s="26">
        <f t="shared" si="88"/>
        <v>0</v>
      </c>
      <c r="AJ100" s="26">
        <f t="shared" si="89"/>
        <v>0</v>
      </c>
      <c r="AK100" s="26">
        <f t="shared" si="90"/>
        <v>0</v>
      </c>
      <c r="AM100" s="27">
        <v>21</v>
      </c>
      <c r="AN100" s="27">
        <f t="shared" si="100"/>
        <v>0</v>
      </c>
      <c r="AO100" s="27">
        <f t="shared" si="101"/>
        <v>0</v>
      </c>
      <c r="AP100" s="28" t="s">
        <v>13</v>
      </c>
      <c r="AU100" s="27">
        <f t="shared" si="91"/>
        <v>0</v>
      </c>
      <c r="AV100" s="27">
        <f t="shared" si="92"/>
        <v>0</v>
      </c>
      <c r="AW100" s="27">
        <f t="shared" si="93"/>
        <v>0</v>
      </c>
      <c r="AX100" s="29" t="s">
        <v>785</v>
      </c>
      <c r="AY100" s="29" t="s">
        <v>793</v>
      </c>
      <c r="AZ100" s="17" t="s">
        <v>796</v>
      </c>
      <c r="BB100" s="27">
        <f t="shared" si="94"/>
        <v>0</v>
      </c>
      <c r="BC100" s="27">
        <f t="shared" si="95"/>
        <v>0</v>
      </c>
      <c r="BD100" s="27">
        <v>0</v>
      </c>
      <c r="BE100" s="27">
        <f t="shared" si="96"/>
        <v>0</v>
      </c>
      <c r="BG100" s="26">
        <f t="shared" si="97"/>
        <v>0</v>
      </c>
      <c r="BH100" s="26">
        <f t="shared" si="98"/>
        <v>0</v>
      </c>
      <c r="BI100" s="26">
        <f t="shared" si="99"/>
        <v>0</v>
      </c>
    </row>
    <row r="101" spans="1:61" ht="12.75" hidden="1">
      <c r="A101" s="24" t="s">
        <v>92</v>
      </c>
      <c r="B101" s="25"/>
      <c r="C101" s="25" t="s">
        <v>339</v>
      </c>
      <c r="D101" s="25" t="s">
        <v>586</v>
      </c>
      <c r="E101" s="25" t="s">
        <v>753</v>
      </c>
      <c r="F101" s="47">
        <v>0</v>
      </c>
      <c r="G101" s="26">
        <f>'Smluvní ceník'!G101</f>
        <v>0</v>
      </c>
      <c r="H101" s="26">
        <f t="shared" si="76"/>
        <v>0</v>
      </c>
      <c r="I101" s="26">
        <f t="shared" si="77"/>
        <v>0</v>
      </c>
      <c r="J101" s="26">
        <f t="shared" si="78"/>
        <v>0</v>
      </c>
      <c r="K101" s="26">
        <v>0</v>
      </c>
      <c r="L101" s="26">
        <f t="shared" si="79"/>
        <v>0</v>
      </c>
      <c r="Y101" s="27">
        <f t="shared" si="80"/>
        <v>0</v>
      </c>
      <c r="AA101" s="27">
        <f t="shared" si="81"/>
        <v>0</v>
      </c>
      <c r="AB101" s="27">
        <f t="shared" si="82"/>
        <v>0</v>
      </c>
      <c r="AC101" s="27">
        <f t="shared" si="83"/>
        <v>0</v>
      </c>
      <c r="AD101" s="27">
        <f t="shared" si="84"/>
        <v>0</v>
      </c>
      <c r="AE101" s="27">
        <f t="shared" si="85"/>
        <v>0</v>
      </c>
      <c r="AF101" s="27">
        <f t="shared" si="86"/>
        <v>0</v>
      </c>
      <c r="AG101" s="27">
        <f t="shared" si="87"/>
        <v>0</v>
      </c>
      <c r="AH101" s="17"/>
      <c r="AI101" s="26">
        <f t="shared" si="88"/>
        <v>0</v>
      </c>
      <c r="AJ101" s="26">
        <f t="shared" si="89"/>
        <v>0</v>
      </c>
      <c r="AK101" s="26">
        <f t="shared" si="90"/>
        <v>0</v>
      </c>
      <c r="AM101" s="27">
        <v>21</v>
      </c>
      <c r="AN101" s="27">
        <f t="shared" si="100"/>
        <v>0</v>
      </c>
      <c r="AO101" s="27">
        <f t="shared" si="101"/>
        <v>0</v>
      </c>
      <c r="AP101" s="28" t="s">
        <v>13</v>
      </c>
      <c r="AU101" s="27">
        <f t="shared" si="91"/>
        <v>0</v>
      </c>
      <c r="AV101" s="27">
        <f t="shared" si="92"/>
        <v>0</v>
      </c>
      <c r="AW101" s="27">
        <f t="shared" si="93"/>
        <v>0</v>
      </c>
      <c r="AX101" s="29" t="s">
        <v>785</v>
      </c>
      <c r="AY101" s="29" t="s">
        <v>793</v>
      </c>
      <c r="AZ101" s="17" t="s">
        <v>796</v>
      </c>
      <c r="BB101" s="27">
        <f t="shared" si="94"/>
        <v>0</v>
      </c>
      <c r="BC101" s="27">
        <f t="shared" si="95"/>
        <v>0</v>
      </c>
      <c r="BD101" s="27">
        <v>0</v>
      </c>
      <c r="BE101" s="27">
        <f t="shared" si="96"/>
        <v>0</v>
      </c>
      <c r="BG101" s="26">
        <f t="shared" si="97"/>
        <v>0</v>
      </c>
      <c r="BH101" s="26">
        <f t="shared" si="98"/>
        <v>0</v>
      </c>
      <c r="BI101" s="26">
        <f t="shared" si="99"/>
        <v>0</v>
      </c>
    </row>
    <row r="102" spans="1:61" ht="12.75" hidden="1">
      <c r="A102" s="24" t="s">
        <v>93</v>
      </c>
      <c r="B102" s="25"/>
      <c r="C102" s="25" t="s">
        <v>340</v>
      </c>
      <c r="D102" s="25" t="s">
        <v>587</v>
      </c>
      <c r="E102" s="25" t="s">
        <v>753</v>
      </c>
      <c r="F102" s="47">
        <v>0</v>
      </c>
      <c r="G102" s="26">
        <f>'Smluvní ceník'!G102</f>
        <v>0</v>
      </c>
      <c r="H102" s="26">
        <f t="shared" si="76"/>
        <v>0</v>
      </c>
      <c r="I102" s="26">
        <f t="shared" si="77"/>
        <v>0</v>
      </c>
      <c r="J102" s="26">
        <f t="shared" si="78"/>
        <v>0</v>
      </c>
      <c r="K102" s="26">
        <v>0</v>
      </c>
      <c r="L102" s="26">
        <f t="shared" si="79"/>
        <v>0</v>
      </c>
      <c r="Y102" s="27">
        <f t="shared" si="80"/>
        <v>0</v>
      </c>
      <c r="AA102" s="27">
        <f t="shared" si="81"/>
        <v>0</v>
      </c>
      <c r="AB102" s="27">
        <f t="shared" si="82"/>
        <v>0</v>
      </c>
      <c r="AC102" s="27">
        <f t="shared" si="83"/>
        <v>0</v>
      </c>
      <c r="AD102" s="27">
        <f t="shared" si="84"/>
        <v>0</v>
      </c>
      <c r="AE102" s="27">
        <f t="shared" si="85"/>
        <v>0</v>
      </c>
      <c r="AF102" s="27">
        <f t="shared" si="86"/>
        <v>0</v>
      </c>
      <c r="AG102" s="27">
        <f t="shared" si="87"/>
        <v>0</v>
      </c>
      <c r="AH102" s="17"/>
      <c r="AI102" s="26">
        <f t="shared" si="88"/>
        <v>0</v>
      </c>
      <c r="AJ102" s="26">
        <f t="shared" si="89"/>
        <v>0</v>
      </c>
      <c r="AK102" s="26">
        <f t="shared" si="90"/>
        <v>0</v>
      </c>
      <c r="AM102" s="27">
        <v>21</v>
      </c>
      <c r="AN102" s="27">
        <f t="shared" si="100"/>
        <v>0</v>
      </c>
      <c r="AO102" s="27">
        <f t="shared" si="101"/>
        <v>0</v>
      </c>
      <c r="AP102" s="28" t="s">
        <v>13</v>
      </c>
      <c r="AU102" s="27">
        <f t="shared" si="91"/>
        <v>0</v>
      </c>
      <c r="AV102" s="27">
        <f t="shared" si="92"/>
        <v>0</v>
      </c>
      <c r="AW102" s="27">
        <f t="shared" si="93"/>
        <v>0</v>
      </c>
      <c r="AX102" s="29" t="s">
        <v>785</v>
      </c>
      <c r="AY102" s="29" t="s">
        <v>793</v>
      </c>
      <c r="AZ102" s="17" t="s">
        <v>796</v>
      </c>
      <c r="BB102" s="27">
        <f t="shared" si="94"/>
        <v>0</v>
      </c>
      <c r="BC102" s="27">
        <f t="shared" si="95"/>
        <v>0</v>
      </c>
      <c r="BD102" s="27">
        <v>0</v>
      </c>
      <c r="BE102" s="27">
        <f t="shared" si="96"/>
        <v>0</v>
      </c>
      <c r="BG102" s="26">
        <f t="shared" si="97"/>
        <v>0</v>
      </c>
      <c r="BH102" s="26">
        <f t="shared" si="98"/>
        <v>0</v>
      </c>
      <c r="BI102" s="26">
        <f t="shared" si="99"/>
        <v>0</v>
      </c>
    </row>
    <row r="103" spans="1:61" ht="12.75">
      <c r="A103" s="24" t="s">
        <v>94</v>
      </c>
      <c r="B103" s="25"/>
      <c r="C103" s="25" t="s">
        <v>341</v>
      </c>
      <c r="D103" s="25" t="s">
        <v>588</v>
      </c>
      <c r="E103" s="25" t="s">
        <v>753</v>
      </c>
      <c r="F103" s="47">
        <v>2</v>
      </c>
      <c r="G103" s="26">
        <f>'Smluvní ceník'!G103</f>
        <v>0</v>
      </c>
      <c r="H103" s="26">
        <f t="shared" si="76"/>
        <v>0</v>
      </c>
      <c r="I103" s="26">
        <f t="shared" si="77"/>
        <v>0</v>
      </c>
      <c r="J103" s="26">
        <f t="shared" si="78"/>
        <v>0</v>
      </c>
      <c r="K103" s="26">
        <v>0</v>
      </c>
      <c r="L103" s="26">
        <f t="shared" si="79"/>
        <v>0</v>
      </c>
      <c r="Y103" s="27">
        <f t="shared" si="80"/>
        <v>0</v>
      </c>
      <c r="AA103" s="27">
        <f t="shared" si="81"/>
        <v>0</v>
      </c>
      <c r="AB103" s="27">
        <f t="shared" si="82"/>
        <v>0</v>
      </c>
      <c r="AC103" s="27">
        <f t="shared" si="83"/>
        <v>0</v>
      </c>
      <c r="AD103" s="27">
        <f t="shared" si="84"/>
        <v>0</v>
      </c>
      <c r="AE103" s="27">
        <f t="shared" si="85"/>
        <v>0</v>
      </c>
      <c r="AF103" s="27">
        <f t="shared" si="86"/>
        <v>0</v>
      </c>
      <c r="AG103" s="27">
        <f t="shared" si="87"/>
        <v>0</v>
      </c>
      <c r="AH103" s="17"/>
      <c r="AI103" s="26">
        <f t="shared" si="88"/>
        <v>0</v>
      </c>
      <c r="AJ103" s="26">
        <f t="shared" si="89"/>
        <v>0</v>
      </c>
      <c r="AK103" s="26">
        <f t="shared" si="90"/>
        <v>0</v>
      </c>
      <c r="AM103" s="27">
        <v>21</v>
      </c>
      <c r="AN103" s="27">
        <f t="shared" si="100"/>
        <v>0</v>
      </c>
      <c r="AO103" s="27">
        <f t="shared" si="101"/>
        <v>0</v>
      </c>
      <c r="AP103" s="28" t="s">
        <v>13</v>
      </c>
      <c r="AU103" s="27">
        <f t="shared" si="91"/>
        <v>0</v>
      </c>
      <c r="AV103" s="27">
        <f t="shared" si="92"/>
        <v>0</v>
      </c>
      <c r="AW103" s="27">
        <f t="shared" si="93"/>
        <v>0</v>
      </c>
      <c r="AX103" s="29" t="s">
        <v>785</v>
      </c>
      <c r="AY103" s="29" t="s">
        <v>793</v>
      </c>
      <c r="AZ103" s="17" t="s">
        <v>796</v>
      </c>
      <c r="BB103" s="27">
        <f t="shared" si="94"/>
        <v>0</v>
      </c>
      <c r="BC103" s="27">
        <f t="shared" si="95"/>
        <v>0</v>
      </c>
      <c r="BD103" s="27">
        <v>0</v>
      </c>
      <c r="BE103" s="27">
        <f t="shared" si="96"/>
        <v>0</v>
      </c>
      <c r="BG103" s="26">
        <f t="shared" si="97"/>
        <v>0</v>
      </c>
      <c r="BH103" s="26">
        <f t="shared" si="98"/>
        <v>0</v>
      </c>
      <c r="BI103" s="26">
        <f t="shared" si="99"/>
        <v>0</v>
      </c>
    </row>
    <row r="104" spans="1:61" ht="12.75">
      <c r="A104" s="24" t="s">
        <v>95</v>
      </c>
      <c r="B104" s="25"/>
      <c r="C104" s="25" t="s">
        <v>342</v>
      </c>
      <c r="D104" s="25" t="s">
        <v>589</v>
      </c>
      <c r="E104" s="25" t="s">
        <v>753</v>
      </c>
      <c r="F104" s="47">
        <v>2</v>
      </c>
      <c r="G104" s="26">
        <f>'Smluvní ceník'!G104</f>
        <v>0</v>
      </c>
      <c r="H104" s="26">
        <f t="shared" si="76"/>
        <v>0</v>
      </c>
      <c r="I104" s="26">
        <f t="shared" si="77"/>
        <v>0</v>
      </c>
      <c r="J104" s="26">
        <f t="shared" si="78"/>
        <v>0</v>
      </c>
      <c r="K104" s="26">
        <v>0</v>
      </c>
      <c r="L104" s="26">
        <f t="shared" si="79"/>
        <v>0</v>
      </c>
      <c r="Y104" s="27">
        <f t="shared" si="80"/>
        <v>0</v>
      </c>
      <c r="AA104" s="27">
        <f t="shared" si="81"/>
        <v>0</v>
      </c>
      <c r="AB104" s="27">
        <f t="shared" si="82"/>
        <v>0</v>
      </c>
      <c r="AC104" s="27">
        <f t="shared" si="83"/>
        <v>0</v>
      </c>
      <c r="AD104" s="27">
        <f t="shared" si="84"/>
        <v>0</v>
      </c>
      <c r="AE104" s="27">
        <f t="shared" si="85"/>
        <v>0</v>
      </c>
      <c r="AF104" s="27">
        <f t="shared" si="86"/>
        <v>0</v>
      </c>
      <c r="AG104" s="27">
        <f t="shared" si="87"/>
        <v>0</v>
      </c>
      <c r="AH104" s="17"/>
      <c r="AI104" s="26">
        <f t="shared" si="88"/>
        <v>0</v>
      </c>
      <c r="AJ104" s="26">
        <f t="shared" si="89"/>
        <v>0</v>
      </c>
      <c r="AK104" s="26">
        <f t="shared" si="90"/>
        <v>0</v>
      </c>
      <c r="AM104" s="27">
        <v>21</v>
      </c>
      <c r="AN104" s="27">
        <f t="shared" si="100"/>
        <v>0</v>
      </c>
      <c r="AO104" s="27">
        <f t="shared" si="101"/>
        <v>0</v>
      </c>
      <c r="AP104" s="28" t="s">
        <v>13</v>
      </c>
      <c r="AU104" s="27">
        <f t="shared" si="91"/>
        <v>0</v>
      </c>
      <c r="AV104" s="27">
        <f t="shared" si="92"/>
        <v>0</v>
      </c>
      <c r="AW104" s="27">
        <f t="shared" si="93"/>
        <v>0</v>
      </c>
      <c r="AX104" s="29" t="s">
        <v>785</v>
      </c>
      <c r="AY104" s="29" t="s">
        <v>793</v>
      </c>
      <c r="AZ104" s="17" t="s">
        <v>796</v>
      </c>
      <c r="BB104" s="27">
        <f t="shared" si="94"/>
        <v>0</v>
      </c>
      <c r="BC104" s="27">
        <f t="shared" si="95"/>
        <v>0</v>
      </c>
      <c r="BD104" s="27">
        <v>0</v>
      </c>
      <c r="BE104" s="27">
        <f t="shared" si="96"/>
        <v>0</v>
      </c>
      <c r="BG104" s="26">
        <f t="shared" si="97"/>
        <v>0</v>
      </c>
      <c r="BH104" s="26">
        <f t="shared" si="98"/>
        <v>0</v>
      </c>
      <c r="BI104" s="26">
        <f t="shared" si="99"/>
        <v>0</v>
      </c>
    </row>
    <row r="105" spans="1:61" ht="12.75" hidden="1">
      <c r="A105" s="24" t="s">
        <v>96</v>
      </c>
      <c r="B105" s="25"/>
      <c r="C105" s="25" t="s">
        <v>343</v>
      </c>
      <c r="D105" s="25" t="s">
        <v>590</v>
      </c>
      <c r="E105" s="25" t="s">
        <v>753</v>
      </c>
      <c r="F105" s="47">
        <v>0</v>
      </c>
      <c r="G105" s="26">
        <f>'Smluvní ceník'!G105</f>
        <v>0</v>
      </c>
      <c r="H105" s="26">
        <f t="shared" si="76"/>
        <v>0</v>
      </c>
      <c r="I105" s="26">
        <f t="shared" si="77"/>
        <v>0</v>
      </c>
      <c r="J105" s="26">
        <f t="shared" si="78"/>
        <v>0</v>
      </c>
      <c r="K105" s="26">
        <v>0</v>
      </c>
      <c r="L105" s="26">
        <f t="shared" si="79"/>
        <v>0</v>
      </c>
      <c r="Y105" s="27">
        <f t="shared" si="80"/>
        <v>0</v>
      </c>
      <c r="AA105" s="27">
        <f t="shared" si="81"/>
        <v>0</v>
      </c>
      <c r="AB105" s="27">
        <f t="shared" si="82"/>
        <v>0</v>
      </c>
      <c r="AC105" s="27">
        <f t="shared" si="83"/>
        <v>0</v>
      </c>
      <c r="AD105" s="27">
        <f t="shared" si="84"/>
        <v>0</v>
      </c>
      <c r="AE105" s="27">
        <f t="shared" si="85"/>
        <v>0</v>
      </c>
      <c r="AF105" s="27">
        <f t="shared" si="86"/>
        <v>0</v>
      </c>
      <c r="AG105" s="27">
        <f t="shared" si="87"/>
        <v>0</v>
      </c>
      <c r="AH105" s="17"/>
      <c r="AI105" s="26">
        <f t="shared" si="88"/>
        <v>0</v>
      </c>
      <c r="AJ105" s="26">
        <f t="shared" si="89"/>
        <v>0</v>
      </c>
      <c r="AK105" s="26">
        <f t="shared" si="90"/>
        <v>0</v>
      </c>
      <c r="AM105" s="27">
        <v>21</v>
      </c>
      <c r="AN105" s="27">
        <f t="shared" si="100"/>
        <v>0</v>
      </c>
      <c r="AO105" s="27">
        <f t="shared" si="101"/>
        <v>0</v>
      </c>
      <c r="AP105" s="28" t="s">
        <v>13</v>
      </c>
      <c r="AU105" s="27">
        <f t="shared" si="91"/>
        <v>0</v>
      </c>
      <c r="AV105" s="27">
        <f t="shared" si="92"/>
        <v>0</v>
      </c>
      <c r="AW105" s="27">
        <f t="shared" si="93"/>
        <v>0</v>
      </c>
      <c r="AX105" s="29" t="s">
        <v>785</v>
      </c>
      <c r="AY105" s="29" t="s">
        <v>793</v>
      </c>
      <c r="AZ105" s="17" t="s">
        <v>796</v>
      </c>
      <c r="BB105" s="27">
        <f t="shared" si="94"/>
        <v>0</v>
      </c>
      <c r="BC105" s="27">
        <f t="shared" si="95"/>
        <v>0</v>
      </c>
      <c r="BD105" s="27">
        <v>0</v>
      </c>
      <c r="BE105" s="27">
        <f t="shared" si="96"/>
        <v>0</v>
      </c>
      <c r="BG105" s="26">
        <f t="shared" si="97"/>
        <v>0</v>
      </c>
      <c r="BH105" s="26">
        <f t="shared" si="98"/>
        <v>0</v>
      </c>
      <c r="BI105" s="26">
        <f t="shared" si="99"/>
        <v>0</v>
      </c>
    </row>
    <row r="106" spans="1:61" ht="12.75" hidden="1">
      <c r="A106" s="24" t="s">
        <v>97</v>
      </c>
      <c r="B106" s="25"/>
      <c r="C106" s="25" t="s">
        <v>344</v>
      </c>
      <c r="D106" s="25" t="s">
        <v>591</v>
      </c>
      <c r="E106" s="25" t="s">
        <v>753</v>
      </c>
      <c r="F106" s="47">
        <v>0</v>
      </c>
      <c r="G106" s="26">
        <f>'Smluvní ceník'!G106</f>
        <v>0</v>
      </c>
      <c r="H106" s="26">
        <f t="shared" si="76"/>
        <v>0</v>
      </c>
      <c r="I106" s="26">
        <f t="shared" si="77"/>
        <v>0</v>
      </c>
      <c r="J106" s="26">
        <f t="shared" si="78"/>
        <v>0</v>
      </c>
      <c r="K106" s="26">
        <v>0.00019</v>
      </c>
      <c r="L106" s="26">
        <f t="shared" si="79"/>
        <v>0</v>
      </c>
      <c r="Y106" s="27">
        <f t="shared" si="80"/>
        <v>0</v>
      </c>
      <c r="AA106" s="27">
        <f t="shared" si="81"/>
        <v>0</v>
      </c>
      <c r="AB106" s="27">
        <f t="shared" si="82"/>
        <v>0</v>
      </c>
      <c r="AC106" s="27">
        <f t="shared" si="83"/>
        <v>0</v>
      </c>
      <c r="AD106" s="27">
        <f t="shared" si="84"/>
        <v>0</v>
      </c>
      <c r="AE106" s="27">
        <f t="shared" si="85"/>
        <v>0</v>
      </c>
      <c r="AF106" s="27">
        <f t="shared" si="86"/>
        <v>0</v>
      </c>
      <c r="AG106" s="27">
        <f t="shared" si="87"/>
        <v>0</v>
      </c>
      <c r="AH106" s="17"/>
      <c r="AI106" s="26">
        <f t="shared" si="88"/>
        <v>0</v>
      </c>
      <c r="AJ106" s="26">
        <f t="shared" si="89"/>
        <v>0</v>
      </c>
      <c r="AK106" s="26">
        <f t="shared" si="90"/>
        <v>0</v>
      </c>
      <c r="AM106" s="27">
        <v>21</v>
      </c>
      <c r="AN106" s="27">
        <f>G106*0.0181393322507822</f>
        <v>0</v>
      </c>
      <c r="AO106" s="27">
        <f>G106*(1-0.0181393322507822)</f>
        <v>0</v>
      </c>
      <c r="AP106" s="28" t="s">
        <v>13</v>
      </c>
      <c r="AU106" s="27">
        <f t="shared" si="91"/>
        <v>0</v>
      </c>
      <c r="AV106" s="27">
        <f t="shared" si="92"/>
        <v>0</v>
      </c>
      <c r="AW106" s="27">
        <f t="shared" si="93"/>
        <v>0</v>
      </c>
      <c r="AX106" s="29" t="s">
        <v>785</v>
      </c>
      <c r="AY106" s="29" t="s">
        <v>793</v>
      </c>
      <c r="AZ106" s="17" t="s">
        <v>796</v>
      </c>
      <c r="BB106" s="27">
        <f t="shared" si="94"/>
        <v>0</v>
      </c>
      <c r="BC106" s="27">
        <f t="shared" si="95"/>
        <v>0</v>
      </c>
      <c r="BD106" s="27">
        <v>0</v>
      </c>
      <c r="BE106" s="27">
        <f t="shared" si="96"/>
        <v>0</v>
      </c>
      <c r="BG106" s="26">
        <f t="shared" si="97"/>
        <v>0</v>
      </c>
      <c r="BH106" s="26">
        <f t="shared" si="98"/>
        <v>0</v>
      </c>
      <c r="BI106" s="26">
        <f t="shared" si="99"/>
        <v>0</v>
      </c>
    </row>
    <row r="107" spans="1:61" ht="12.75" hidden="1">
      <c r="A107" s="24" t="s">
        <v>98</v>
      </c>
      <c r="B107" s="25"/>
      <c r="C107" s="25" t="s">
        <v>345</v>
      </c>
      <c r="D107" s="25" t="s">
        <v>592</v>
      </c>
      <c r="E107" s="25" t="s">
        <v>753</v>
      </c>
      <c r="F107" s="47">
        <v>0</v>
      </c>
      <c r="G107" s="26">
        <f>'Smluvní ceník'!G107</f>
        <v>0</v>
      </c>
      <c r="H107" s="26">
        <f t="shared" si="76"/>
        <v>0</v>
      </c>
      <c r="I107" s="26">
        <f t="shared" si="77"/>
        <v>0</v>
      </c>
      <c r="J107" s="26">
        <f t="shared" si="78"/>
        <v>0</v>
      </c>
      <c r="K107" s="26">
        <v>0.00019</v>
      </c>
      <c r="L107" s="26">
        <f t="shared" si="79"/>
        <v>0</v>
      </c>
      <c r="Y107" s="27">
        <f t="shared" si="80"/>
        <v>0</v>
      </c>
      <c r="AA107" s="27">
        <f t="shared" si="81"/>
        <v>0</v>
      </c>
      <c r="AB107" s="27">
        <f t="shared" si="82"/>
        <v>0</v>
      </c>
      <c r="AC107" s="27">
        <f t="shared" si="83"/>
        <v>0</v>
      </c>
      <c r="AD107" s="27">
        <f t="shared" si="84"/>
        <v>0</v>
      </c>
      <c r="AE107" s="27">
        <f t="shared" si="85"/>
        <v>0</v>
      </c>
      <c r="AF107" s="27">
        <f t="shared" si="86"/>
        <v>0</v>
      </c>
      <c r="AG107" s="27">
        <f t="shared" si="87"/>
        <v>0</v>
      </c>
      <c r="AH107" s="17"/>
      <c r="AI107" s="26">
        <f t="shared" si="88"/>
        <v>0</v>
      </c>
      <c r="AJ107" s="26">
        <f t="shared" si="89"/>
        <v>0</v>
      </c>
      <c r="AK107" s="26">
        <f t="shared" si="90"/>
        <v>0</v>
      </c>
      <c r="AM107" s="27">
        <v>21</v>
      </c>
      <c r="AN107" s="27">
        <f>G107*0.010121546961326</f>
        <v>0</v>
      </c>
      <c r="AO107" s="27">
        <f>G107*(1-0.010121546961326)</f>
        <v>0</v>
      </c>
      <c r="AP107" s="28" t="s">
        <v>13</v>
      </c>
      <c r="AU107" s="27">
        <f t="shared" si="91"/>
        <v>0</v>
      </c>
      <c r="AV107" s="27">
        <f t="shared" si="92"/>
        <v>0</v>
      </c>
      <c r="AW107" s="27">
        <f t="shared" si="93"/>
        <v>0</v>
      </c>
      <c r="AX107" s="29" t="s">
        <v>785</v>
      </c>
      <c r="AY107" s="29" t="s">
        <v>793</v>
      </c>
      <c r="AZ107" s="17" t="s">
        <v>796</v>
      </c>
      <c r="BB107" s="27">
        <f t="shared" si="94"/>
        <v>0</v>
      </c>
      <c r="BC107" s="27">
        <f t="shared" si="95"/>
        <v>0</v>
      </c>
      <c r="BD107" s="27">
        <v>0</v>
      </c>
      <c r="BE107" s="27">
        <f t="shared" si="96"/>
        <v>0</v>
      </c>
      <c r="BG107" s="26">
        <f t="shared" si="97"/>
        <v>0</v>
      </c>
      <c r="BH107" s="26">
        <f t="shared" si="98"/>
        <v>0</v>
      </c>
      <c r="BI107" s="26">
        <f t="shared" si="99"/>
        <v>0</v>
      </c>
    </row>
    <row r="108" spans="1:61" ht="12.75">
      <c r="A108" s="24" t="s">
        <v>99</v>
      </c>
      <c r="B108" s="25"/>
      <c r="C108" s="25" t="s">
        <v>346</v>
      </c>
      <c r="D108" s="25" t="s">
        <v>593</v>
      </c>
      <c r="E108" s="25" t="s">
        <v>753</v>
      </c>
      <c r="F108" s="47">
        <v>2</v>
      </c>
      <c r="G108" s="26">
        <f>'Smluvní ceník'!G108</f>
        <v>0</v>
      </c>
      <c r="H108" s="26">
        <f t="shared" si="76"/>
        <v>0</v>
      </c>
      <c r="I108" s="26">
        <f t="shared" si="77"/>
        <v>0</v>
      </c>
      <c r="J108" s="26">
        <f t="shared" si="78"/>
        <v>0</v>
      </c>
      <c r="K108" s="26">
        <v>0</v>
      </c>
      <c r="L108" s="26">
        <f t="shared" si="79"/>
        <v>0</v>
      </c>
      <c r="Y108" s="27">
        <f t="shared" si="80"/>
        <v>0</v>
      </c>
      <c r="AA108" s="27">
        <f t="shared" si="81"/>
        <v>0</v>
      </c>
      <c r="AB108" s="27">
        <f t="shared" si="82"/>
        <v>0</v>
      </c>
      <c r="AC108" s="27">
        <f t="shared" si="83"/>
        <v>0</v>
      </c>
      <c r="AD108" s="27">
        <f t="shared" si="84"/>
        <v>0</v>
      </c>
      <c r="AE108" s="27">
        <f t="shared" si="85"/>
        <v>0</v>
      </c>
      <c r="AF108" s="27">
        <f t="shared" si="86"/>
        <v>0</v>
      </c>
      <c r="AG108" s="27">
        <f t="shared" si="87"/>
        <v>0</v>
      </c>
      <c r="AH108" s="17"/>
      <c r="AI108" s="26">
        <f t="shared" si="88"/>
        <v>0</v>
      </c>
      <c r="AJ108" s="26">
        <f t="shared" si="89"/>
        <v>0</v>
      </c>
      <c r="AK108" s="26">
        <f t="shared" si="90"/>
        <v>0</v>
      </c>
      <c r="AM108" s="27">
        <v>21</v>
      </c>
      <c r="AN108" s="27">
        <f>G108*0</f>
        <v>0</v>
      </c>
      <c r="AO108" s="27">
        <f>G108*(1-0)</f>
        <v>0</v>
      </c>
      <c r="AP108" s="28" t="s">
        <v>13</v>
      </c>
      <c r="AU108" s="27">
        <f t="shared" si="91"/>
        <v>0</v>
      </c>
      <c r="AV108" s="27">
        <f t="shared" si="92"/>
        <v>0</v>
      </c>
      <c r="AW108" s="27">
        <f t="shared" si="93"/>
        <v>0</v>
      </c>
      <c r="AX108" s="29" t="s">
        <v>785</v>
      </c>
      <c r="AY108" s="29" t="s">
        <v>793</v>
      </c>
      <c r="AZ108" s="17" t="s">
        <v>796</v>
      </c>
      <c r="BB108" s="27">
        <f t="shared" si="94"/>
        <v>0</v>
      </c>
      <c r="BC108" s="27">
        <f t="shared" si="95"/>
        <v>0</v>
      </c>
      <c r="BD108" s="27">
        <v>0</v>
      </c>
      <c r="BE108" s="27">
        <f t="shared" si="96"/>
        <v>0</v>
      </c>
      <c r="BG108" s="26">
        <f t="shared" si="97"/>
        <v>0</v>
      </c>
      <c r="BH108" s="26">
        <f t="shared" si="98"/>
        <v>0</v>
      </c>
      <c r="BI108" s="26">
        <f t="shared" si="99"/>
        <v>0</v>
      </c>
    </row>
    <row r="109" spans="1:61" ht="12.75" hidden="1">
      <c r="A109" s="24" t="s">
        <v>100</v>
      </c>
      <c r="B109" s="25"/>
      <c r="C109" s="25" t="s">
        <v>347</v>
      </c>
      <c r="D109" s="25" t="s">
        <v>594</v>
      </c>
      <c r="E109" s="25" t="s">
        <v>753</v>
      </c>
      <c r="F109" s="47">
        <v>0</v>
      </c>
      <c r="G109" s="26">
        <f>'Smluvní ceník'!G109</f>
        <v>0</v>
      </c>
      <c r="H109" s="26">
        <f aca="true" t="shared" si="102" ref="H109:H121">F109*AN109</f>
        <v>0</v>
      </c>
      <c r="I109" s="26">
        <f aca="true" t="shared" si="103" ref="I109:I121">F109*AO109</f>
        <v>0</v>
      </c>
      <c r="J109" s="26">
        <f aca="true" t="shared" si="104" ref="J109:J121">F109*G109</f>
        <v>0</v>
      </c>
      <c r="K109" s="26">
        <v>0</v>
      </c>
      <c r="L109" s="26">
        <f aca="true" t="shared" si="105" ref="L109:L121">F109*K109</f>
        <v>0</v>
      </c>
      <c r="Y109" s="27">
        <f aca="true" t="shared" si="106" ref="Y109:Y121">IF(AP109="5",BI109,0)</f>
        <v>0</v>
      </c>
      <c r="AA109" s="27">
        <f aca="true" t="shared" si="107" ref="AA109:AA121">IF(AP109="1",BG109,0)</f>
        <v>0</v>
      </c>
      <c r="AB109" s="27">
        <f aca="true" t="shared" si="108" ref="AB109:AB121">IF(AP109="1",BH109,0)</f>
        <v>0</v>
      </c>
      <c r="AC109" s="27">
        <f aca="true" t="shared" si="109" ref="AC109:AC121">IF(AP109="7",BG109,0)</f>
        <v>0</v>
      </c>
      <c r="AD109" s="27">
        <f aca="true" t="shared" si="110" ref="AD109:AD121">IF(AP109="7",BH109,0)</f>
        <v>0</v>
      </c>
      <c r="AE109" s="27">
        <f aca="true" t="shared" si="111" ref="AE109:AE121">IF(AP109="2",BG109,0)</f>
        <v>0</v>
      </c>
      <c r="AF109" s="27">
        <f aca="true" t="shared" si="112" ref="AF109:AF121">IF(AP109="2",BH109,0)</f>
        <v>0</v>
      </c>
      <c r="AG109" s="27">
        <f aca="true" t="shared" si="113" ref="AG109:AG121">IF(AP109="0",BI109,0)</f>
        <v>0</v>
      </c>
      <c r="AH109" s="17"/>
      <c r="AI109" s="26">
        <f aca="true" t="shared" si="114" ref="AI109:AI121">IF(AM109=0,J109,0)</f>
        <v>0</v>
      </c>
      <c r="AJ109" s="26">
        <f aca="true" t="shared" si="115" ref="AJ109:AJ121">IF(AM109=15,J109,0)</f>
        <v>0</v>
      </c>
      <c r="AK109" s="26">
        <f aca="true" t="shared" si="116" ref="AK109:AK121">IF(AM109=21,J109,0)</f>
        <v>0</v>
      </c>
      <c r="AM109" s="27">
        <v>21</v>
      </c>
      <c r="AN109" s="27">
        <f>G109*0</f>
        <v>0</v>
      </c>
      <c r="AO109" s="27">
        <f>G109*(1-0)</f>
        <v>0</v>
      </c>
      <c r="AP109" s="28" t="s">
        <v>13</v>
      </c>
      <c r="AU109" s="27">
        <f aca="true" t="shared" si="117" ref="AU109:AU121">AV109+AW109</f>
        <v>0</v>
      </c>
      <c r="AV109" s="27">
        <f aca="true" t="shared" si="118" ref="AV109:AV121">F109*AN109</f>
        <v>0</v>
      </c>
      <c r="AW109" s="27">
        <f aca="true" t="shared" si="119" ref="AW109:AW121">F109*AO109</f>
        <v>0</v>
      </c>
      <c r="AX109" s="29" t="s">
        <v>785</v>
      </c>
      <c r="AY109" s="29" t="s">
        <v>793</v>
      </c>
      <c r="AZ109" s="17" t="s">
        <v>796</v>
      </c>
      <c r="BB109" s="27">
        <f aca="true" t="shared" si="120" ref="BB109:BB121">AV109+AW109</f>
        <v>0</v>
      </c>
      <c r="BC109" s="27">
        <f aca="true" t="shared" si="121" ref="BC109:BC121">G109/(100-BD109)*100</f>
        <v>0</v>
      </c>
      <c r="BD109" s="27">
        <v>0</v>
      </c>
      <c r="BE109" s="27">
        <f aca="true" t="shared" si="122" ref="BE109:BE121">L109</f>
        <v>0</v>
      </c>
      <c r="BG109" s="26">
        <f aca="true" t="shared" si="123" ref="BG109:BG121">F109*AN109</f>
        <v>0</v>
      </c>
      <c r="BH109" s="26">
        <f aca="true" t="shared" si="124" ref="BH109:BH121">F109*AO109</f>
        <v>0</v>
      </c>
      <c r="BI109" s="26">
        <f aca="true" t="shared" si="125" ref="BI109:BI121">F109*G109</f>
        <v>0</v>
      </c>
    </row>
    <row r="110" spans="1:61" ht="12.75" hidden="1">
      <c r="A110" s="24" t="s">
        <v>101</v>
      </c>
      <c r="B110" s="25"/>
      <c r="C110" s="25" t="s">
        <v>348</v>
      </c>
      <c r="D110" s="25" t="s">
        <v>595</v>
      </c>
      <c r="E110" s="25" t="s">
        <v>753</v>
      </c>
      <c r="F110" s="47">
        <v>0</v>
      </c>
      <c r="G110" s="26">
        <f>'Smluvní ceník'!G110</f>
        <v>0</v>
      </c>
      <c r="H110" s="26">
        <f t="shared" si="102"/>
        <v>0</v>
      </c>
      <c r="I110" s="26">
        <f t="shared" si="103"/>
        <v>0</v>
      </c>
      <c r="J110" s="26">
        <f t="shared" si="104"/>
        <v>0</v>
      </c>
      <c r="K110" s="26">
        <v>0</v>
      </c>
      <c r="L110" s="26">
        <f t="shared" si="105"/>
        <v>0</v>
      </c>
      <c r="Y110" s="27">
        <f t="shared" si="106"/>
        <v>0</v>
      </c>
      <c r="AA110" s="27">
        <f t="shared" si="107"/>
        <v>0</v>
      </c>
      <c r="AB110" s="27">
        <f t="shared" si="108"/>
        <v>0</v>
      </c>
      <c r="AC110" s="27">
        <f t="shared" si="109"/>
        <v>0</v>
      </c>
      <c r="AD110" s="27">
        <f t="shared" si="110"/>
        <v>0</v>
      </c>
      <c r="AE110" s="27">
        <f t="shared" si="111"/>
        <v>0</v>
      </c>
      <c r="AF110" s="27">
        <f t="shared" si="112"/>
        <v>0</v>
      </c>
      <c r="AG110" s="27">
        <f t="shared" si="113"/>
        <v>0</v>
      </c>
      <c r="AH110" s="17"/>
      <c r="AI110" s="26">
        <f t="shared" si="114"/>
        <v>0</v>
      </c>
      <c r="AJ110" s="26">
        <f t="shared" si="115"/>
        <v>0</v>
      </c>
      <c r="AK110" s="26">
        <f t="shared" si="116"/>
        <v>0</v>
      </c>
      <c r="AM110" s="27">
        <v>21</v>
      </c>
      <c r="AN110" s="27">
        <f>G110*0</f>
        <v>0</v>
      </c>
      <c r="AO110" s="27">
        <f>G110*(1-0)</f>
        <v>0</v>
      </c>
      <c r="AP110" s="28" t="s">
        <v>13</v>
      </c>
      <c r="AU110" s="27">
        <f t="shared" si="117"/>
        <v>0</v>
      </c>
      <c r="AV110" s="27">
        <f t="shared" si="118"/>
        <v>0</v>
      </c>
      <c r="AW110" s="27">
        <f t="shared" si="119"/>
        <v>0</v>
      </c>
      <c r="AX110" s="29" t="s">
        <v>785</v>
      </c>
      <c r="AY110" s="29" t="s">
        <v>793</v>
      </c>
      <c r="AZ110" s="17" t="s">
        <v>796</v>
      </c>
      <c r="BB110" s="27">
        <f t="shared" si="120"/>
        <v>0</v>
      </c>
      <c r="BC110" s="27">
        <f t="shared" si="121"/>
        <v>0</v>
      </c>
      <c r="BD110" s="27">
        <v>0</v>
      </c>
      <c r="BE110" s="27">
        <f t="shared" si="122"/>
        <v>0</v>
      </c>
      <c r="BG110" s="26">
        <f t="shared" si="123"/>
        <v>0</v>
      </c>
      <c r="BH110" s="26">
        <f t="shared" si="124"/>
        <v>0</v>
      </c>
      <c r="BI110" s="26">
        <f t="shared" si="125"/>
        <v>0</v>
      </c>
    </row>
    <row r="111" spans="1:61" ht="12.75" hidden="1">
      <c r="A111" s="24" t="s">
        <v>102</v>
      </c>
      <c r="B111" s="25"/>
      <c r="C111" s="25" t="s">
        <v>349</v>
      </c>
      <c r="D111" s="25" t="s">
        <v>596</v>
      </c>
      <c r="E111" s="25" t="s">
        <v>753</v>
      </c>
      <c r="F111" s="47">
        <v>0</v>
      </c>
      <c r="G111" s="26">
        <f>'Smluvní ceník'!G111</f>
        <v>0</v>
      </c>
      <c r="H111" s="26">
        <f t="shared" si="102"/>
        <v>0</v>
      </c>
      <c r="I111" s="26">
        <f t="shared" si="103"/>
        <v>0</v>
      </c>
      <c r="J111" s="26">
        <f t="shared" si="104"/>
        <v>0</v>
      </c>
      <c r="K111" s="26">
        <v>0</v>
      </c>
      <c r="L111" s="26">
        <f t="shared" si="105"/>
        <v>0</v>
      </c>
      <c r="Y111" s="27">
        <f t="shared" si="106"/>
        <v>0</v>
      </c>
      <c r="AA111" s="27">
        <f t="shared" si="107"/>
        <v>0</v>
      </c>
      <c r="AB111" s="27">
        <f t="shared" si="108"/>
        <v>0</v>
      </c>
      <c r="AC111" s="27">
        <f t="shared" si="109"/>
        <v>0</v>
      </c>
      <c r="AD111" s="27">
        <f t="shared" si="110"/>
        <v>0</v>
      </c>
      <c r="AE111" s="27">
        <f t="shared" si="111"/>
        <v>0</v>
      </c>
      <c r="AF111" s="27">
        <f t="shared" si="112"/>
        <v>0</v>
      </c>
      <c r="AG111" s="27">
        <f t="shared" si="113"/>
        <v>0</v>
      </c>
      <c r="AH111" s="17"/>
      <c r="AI111" s="26">
        <f t="shared" si="114"/>
        <v>0</v>
      </c>
      <c r="AJ111" s="26">
        <f t="shared" si="115"/>
        <v>0</v>
      </c>
      <c r="AK111" s="26">
        <f t="shared" si="116"/>
        <v>0</v>
      </c>
      <c r="AM111" s="27">
        <v>21</v>
      </c>
      <c r="AN111" s="27">
        <f>G111*0</f>
        <v>0</v>
      </c>
      <c r="AO111" s="27">
        <f>G111*(1-0)</f>
        <v>0</v>
      </c>
      <c r="AP111" s="28" t="s">
        <v>13</v>
      </c>
      <c r="AU111" s="27">
        <f t="shared" si="117"/>
        <v>0</v>
      </c>
      <c r="AV111" s="27">
        <f t="shared" si="118"/>
        <v>0</v>
      </c>
      <c r="AW111" s="27">
        <f t="shared" si="119"/>
        <v>0</v>
      </c>
      <c r="AX111" s="29" t="s">
        <v>785</v>
      </c>
      <c r="AY111" s="29" t="s">
        <v>793</v>
      </c>
      <c r="AZ111" s="17" t="s">
        <v>796</v>
      </c>
      <c r="BB111" s="27">
        <f t="shared" si="120"/>
        <v>0</v>
      </c>
      <c r="BC111" s="27">
        <f t="shared" si="121"/>
        <v>0</v>
      </c>
      <c r="BD111" s="27">
        <v>0</v>
      </c>
      <c r="BE111" s="27">
        <f t="shared" si="122"/>
        <v>0</v>
      </c>
      <c r="BG111" s="26">
        <f t="shared" si="123"/>
        <v>0</v>
      </c>
      <c r="BH111" s="26">
        <f t="shared" si="124"/>
        <v>0</v>
      </c>
      <c r="BI111" s="26">
        <f t="shared" si="125"/>
        <v>0</v>
      </c>
    </row>
    <row r="112" spans="1:61" ht="12.75" hidden="1">
      <c r="A112" s="24" t="s">
        <v>103</v>
      </c>
      <c r="B112" s="25"/>
      <c r="C112" s="25" t="s">
        <v>350</v>
      </c>
      <c r="D112" s="25" t="s">
        <v>597</v>
      </c>
      <c r="E112" s="25" t="s">
        <v>753</v>
      </c>
      <c r="F112" s="47">
        <v>0</v>
      </c>
      <c r="G112" s="26">
        <f>'Smluvní ceník'!G112</f>
        <v>0</v>
      </c>
      <c r="H112" s="26">
        <f t="shared" si="102"/>
        <v>0</v>
      </c>
      <c r="I112" s="26">
        <f t="shared" si="103"/>
        <v>0</v>
      </c>
      <c r="J112" s="26">
        <f t="shared" si="104"/>
        <v>0</v>
      </c>
      <c r="K112" s="26">
        <v>0.00019</v>
      </c>
      <c r="L112" s="26">
        <f t="shared" si="105"/>
        <v>0</v>
      </c>
      <c r="Y112" s="27">
        <f t="shared" si="106"/>
        <v>0</v>
      </c>
      <c r="AA112" s="27">
        <f t="shared" si="107"/>
        <v>0</v>
      </c>
      <c r="AB112" s="27">
        <f t="shared" si="108"/>
        <v>0</v>
      </c>
      <c r="AC112" s="27">
        <f t="shared" si="109"/>
        <v>0</v>
      </c>
      <c r="AD112" s="27">
        <f t="shared" si="110"/>
        <v>0</v>
      </c>
      <c r="AE112" s="27">
        <f t="shared" si="111"/>
        <v>0</v>
      </c>
      <c r="AF112" s="27">
        <f t="shared" si="112"/>
        <v>0</v>
      </c>
      <c r="AG112" s="27">
        <f t="shared" si="113"/>
        <v>0</v>
      </c>
      <c r="AH112" s="17"/>
      <c r="AI112" s="26">
        <f t="shared" si="114"/>
        <v>0</v>
      </c>
      <c r="AJ112" s="26">
        <f t="shared" si="115"/>
        <v>0</v>
      </c>
      <c r="AK112" s="26">
        <f t="shared" si="116"/>
        <v>0</v>
      </c>
      <c r="AM112" s="27">
        <v>21</v>
      </c>
      <c r="AN112" s="27">
        <f>G112*0.0166249228647138</f>
        <v>0</v>
      </c>
      <c r="AO112" s="27">
        <f>G112*(1-0.0166249228647138)</f>
        <v>0</v>
      </c>
      <c r="AP112" s="28" t="s">
        <v>13</v>
      </c>
      <c r="AU112" s="27">
        <f t="shared" si="117"/>
        <v>0</v>
      </c>
      <c r="AV112" s="27">
        <f t="shared" si="118"/>
        <v>0</v>
      </c>
      <c r="AW112" s="27">
        <f t="shared" si="119"/>
        <v>0</v>
      </c>
      <c r="AX112" s="29" t="s">
        <v>785</v>
      </c>
      <c r="AY112" s="29" t="s">
        <v>793</v>
      </c>
      <c r="AZ112" s="17" t="s">
        <v>796</v>
      </c>
      <c r="BB112" s="27">
        <f t="shared" si="120"/>
        <v>0</v>
      </c>
      <c r="BC112" s="27">
        <f t="shared" si="121"/>
        <v>0</v>
      </c>
      <c r="BD112" s="27">
        <v>0</v>
      </c>
      <c r="BE112" s="27">
        <f t="shared" si="122"/>
        <v>0</v>
      </c>
      <c r="BG112" s="26">
        <f t="shared" si="123"/>
        <v>0</v>
      </c>
      <c r="BH112" s="26">
        <f t="shared" si="124"/>
        <v>0</v>
      </c>
      <c r="BI112" s="26">
        <f t="shared" si="125"/>
        <v>0</v>
      </c>
    </row>
    <row r="113" spans="1:61" ht="12.75" hidden="1">
      <c r="A113" s="24" t="s">
        <v>104</v>
      </c>
      <c r="B113" s="25"/>
      <c r="C113" s="25" t="s">
        <v>351</v>
      </c>
      <c r="D113" s="25" t="s">
        <v>598</v>
      </c>
      <c r="E113" s="25" t="s">
        <v>753</v>
      </c>
      <c r="F113" s="47">
        <v>0</v>
      </c>
      <c r="G113" s="26">
        <f>'Smluvní ceník'!G113</f>
        <v>0</v>
      </c>
      <c r="H113" s="26">
        <f t="shared" si="102"/>
        <v>0</v>
      </c>
      <c r="I113" s="26">
        <f t="shared" si="103"/>
        <v>0</v>
      </c>
      <c r="J113" s="26">
        <f t="shared" si="104"/>
        <v>0</v>
      </c>
      <c r="K113" s="26">
        <v>0.00019</v>
      </c>
      <c r="L113" s="26">
        <f t="shared" si="105"/>
        <v>0</v>
      </c>
      <c r="Y113" s="27">
        <f t="shared" si="106"/>
        <v>0</v>
      </c>
      <c r="AA113" s="27">
        <f t="shared" si="107"/>
        <v>0</v>
      </c>
      <c r="AB113" s="27">
        <f t="shared" si="108"/>
        <v>0</v>
      </c>
      <c r="AC113" s="27">
        <f t="shared" si="109"/>
        <v>0</v>
      </c>
      <c r="AD113" s="27">
        <f t="shared" si="110"/>
        <v>0</v>
      </c>
      <c r="AE113" s="27">
        <f t="shared" si="111"/>
        <v>0</v>
      </c>
      <c r="AF113" s="27">
        <f t="shared" si="112"/>
        <v>0</v>
      </c>
      <c r="AG113" s="27">
        <f t="shared" si="113"/>
        <v>0</v>
      </c>
      <c r="AH113" s="17"/>
      <c r="AI113" s="26">
        <f t="shared" si="114"/>
        <v>0</v>
      </c>
      <c r="AJ113" s="26">
        <f t="shared" si="115"/>
        <v>0</v>
      </c>
      <c r="AK113" s="26">
        <f t="shared" si="116"/>
        <v>0</v>
      </c>
      <c r="AM113" s="27">
        <v>21</v>
      </c>
      <c r="AN113" s="27">
        <f>G113*0.00993492407809111</f>
        <v>0</v>
      </c>
      <c r="AO113" s="27">
        <f>G113*(1-0.00993492407809111)</f>
        <v>0</v>
      </c>
      <c r="AP113" s="28" t="s">
        <v>13</v>
      </c>
      <c r="AU113" s="27">
        <f t="shared" si="117"/>
        <v>0</v>
      </c>
      <c r="AV113" s="27">
        <f t="shared" si="118"/>
        <v>0</v>
      </c>
      <c r="AW113" s="27">
        <f t="shared" si="119"/>
        <v>0</v>
      </c>
      <c r="AX113" s="29" t="s">
        <v>785</v>
      </c>
      <c r="AY113" s="29" t="s">
        <v>793</v>
      </c>
      <c r="AZ113" s="17" t="s">
        <v>796</v>
      </c>
      <c r="BB113" s="27">
        <f t="shared" si="120"/>
        <v>0</v>
      </c>
      <c r="BC113" s="27">
        <f t="shared" si="121"/>
        <v>0</v>
      </c>
      <c r="BD113" s="27">
        <v>0</v>
      </c>
      <c r="BE113" s="27">
        <f t="shared" si="122"/>
        <v>0</v>
      </c>
      <c r="BG113" s="26">
        <f t="shared" si="123"/>
        <v>0</v>
      </c>
      <c r="BH113" s="26">
        <f t="shared" si="124"/>
        <v>0</v>
      </c>
      <c r="BI113" s="26">
        <f t="shared" si="125"/>
        <v>0</v>
      </c>
    </row>
    <row r="114" spans="1:61" ht="12.75" hidden="1">
      <c r="A114" s="24" t="s">
        <v>105</v>
      </c>
      <c r="B114" s="25"/>
      <c r="C114" s="25" t="s">
        <v>352</v>
      </c>
      <c r="D114" s="25" t="s">
        <v>599</v>
      </c>
      <c r="E114" s="25" t="s">
        <v>753</v>
      </c>
      <c r="F114" s="47">
        <v>0</v>
      </c>
      <c r="G114" s="26">
        <f>'Smluvní ceník'!G114</f>
        <v>0</v>
      </c>
      <c r="H114" s="26">
        <f t="shared" si="102"/>
        <v>0</v>
      </c>
      <c r="I114" s="26">
        <f t="shared" si="103"/>
        <v>0</v>
      </c>
      <c r="J114" s="26">
        <f t="shared" si="104"/>
        <v>0</v>
      </c>
      <c r="K114" s="26">
        <v>0</v>
      </c>
      <c r="L114" s="26">
        <f t="shared" si="105"/>
        <v>0</v>
      </c>
      <c r="Y114" s="27">
        <f t="shared" si="106"/>
        <v>0</v>
      </c>
      <c r="AA114" s="27">
        <f t="shared" si="107"/>
        <v>0</v>
      </c>
      <c r="AB114" s="27">
        <f t="shared" si="108"/>
        <v>0</v>
      </c>
      <c r="AC114" s="27">
        <f t="shared" si="109"/>
        <v>0</v>
      </c>
      <c r="AD114" s="27">
        <f t="shared" si="110"/>
        <v>0</v>
      </c>
      <c r="AE114" s="27">
        <f t="shared" si="111"/>
        <v>0</v>
      </c>
      <c r="AF114" s="27">
        <f t="shared" si="112"/>
        <v>0</v>
      </c>
      <c r="AG114" s="27">
        <f t="shared" si="113"/>
        <v>0</v>
      </c>
      <c r="AH114" s="17"/>
      <c r="AI114" s="26">
        <f t="shared" si="114"/>
        <v>0</v>
      </c>
      <c r="AJ114" s="26">
        <f t="shared" si="115"/>
        <v>0</v>
      </c>
      <c r="AK114" s="26">
        <f t="shared" si="116"/>
        <v>0</v>
      </c>
      <c r="AM114" s="27">
        <v>21</v>
      </c>
      <c r="AN114" s="27">
        <f>G114*0</f>
        <v>0</v>
      </c>
      <c r="AO114" s="27">
        <f>G114*(1-0)</f>
        <v>0</v>
      </c>
      <c r="AP114" s="28" t="s">
        <v>13</v>
      </c>
      <c r="AU114" s="27">
        <f t="shared" si="117"/>
        <v>0</v>
      </c>
      <c r="AV114" s="27">
        <f t="shared" si="118"/>
        <v>0</v>
      </c>
      <c r="AW114" s="27">
        <f t="shared" si="119"/>
        <v>0</v>
      </c>
      <c r="AX114" s="29" t="s">
        <v>785</v>
      </c>
      <c r="AY114" s="29" t="s">
        <v>793</v>
      </c>
      <c r="AZ114" s="17" t="s">
        <v>796</v>
      </c>
      <c r="BB114" s="27">
        <f t="shared" si="120"/>
        <v>0</v>
      </c>
      <c r="BC114" s="27">
        <f t="shared" si="121"/>
        <v>0</v>
      </c>
      <c r="BD114" s="27">
        <v>0</v>
      </c>
      <c r="BE114" s="27">
        <f t="shared" si="122"/>
        <v>0</v>
      </c>
      <c r="BG114" s="26">
        <f t="shared" si="123"/>
        <v>0</v>
      </c>
      <c r="BH114" s="26">
        <f t="shared" si="124"/>
        <v>0</v>
      </c>
      <c r="BI114" s="26">
        <f t="shared" si="125"/>
        <v>0</v>
      </c>
    </row>
    <row r="115" spans="1:61" ht="12.75" hidden="1">
      <c r="A115" s="24" t="s">
        <v>106</v>
      </c>
      <c r="B115" s="25"/>
      <c r="C115" s="25" t="s">
        <v>353</v>
      </c>
      <c r="D115" s="25" t="s">
        <v>600</v>
      </c>
      <c r="E115" s="25" t="s">
        <v>753</v>
      </c>
      <c r="F115" s="47">
        <v>0</v>
      </c>
      <c r="G115" s="26">
        <f>'Smluvní ceník'!G115</f>
        <v>0</v>
      </c>
      <c r="H115" s="26">
        <f t="shared" si="102"/>
        <v>0</v>
      </c>
      <c r="I115" s="26">
        <f t="shared" si="103"/>
        <v>0</v>
      </c>
      <c r="J115" s="26">
        <f t="shared" si="104"/>
        <v>0</v>
      </c>
      <c r="K115" s="26">
        <v>0</v>
      </c>
      <c r="L115" s="26">
        <f t="shared" si="105"/>
        <v>0</v>
      </c>
      <c r="Y115" s="27">
        <f t="shared" si="106"/>
        <v>0</v>
      </c>
      <c r="AA115" s="27">
        <f t="shared" si="107"/>
        <v>0</v>
      </c>
      <c r="AB115" s="27">
        <f t="shared" si="108"/>
        <v>0</v>
      </c>
      <c r="AC115" s="27">
        <f t="shared" si="109"/>
        <v>0</v>
      </c>
      <c r="AD115" s="27">
        <f t="shared" si="110"/>
        <v>0</v>
      </c>
      <c r="AE115" s="27">
        <f t="shared" si="111"/>
        <v>0</v>
      </c>
      <c r="AF115" s="27">
        <f t="shared" si="112"/>
        <v>0</v>
      </c>
      <c r="AG115" s="27">
        <f t="shared" si="113"/>
        <v>0</v>
      </c>
      <c r="AH115" s="17"/>
      <c r="AI115" s="26">
        <f t="shared" si="114"/>
        <v>0</v>
      </c>
      <c r="AJ115" s="26">
        <f t="shared" si="115"/>
        <v>0</v>
      </c>
      <c r="AK115" s="26">
        <f t="shared" si="116"/>
        <v>0</v>
      </c>
      <c r="AM115" s="27">
        <v>21</v>
      </c>
      <c r="AN115" s="27">
        <f>G115*0</f>
        <v>0</v>
      </c>
      <c r="AO115" s="27">
        <f>G115*(1-0)</f>
        <v>0</v>
      </c>
      <c r="AP115" s="28" t="s">
        <v>13</v>
      </c>
      <c r="AU115" s="27">
        <f t="shared" si="117"/>
        <v>0</v>
      </c>
      <c r="AV115" s="27">
        <f t="shared" si="118"/>
        <v>0</v>
      </c>
      <c r="AW115" s="27">
        <f t="shared" si="119"/>
        <v>0</v>
      </c>
      <c r="AX115" s="29" t="s">
        <v>785</v>
      </c>
      <c r="AY115" s="29" t="s">
        <v>793</v>
      </c>
      <c r="AZ115" s="17" t="s">
        <v>796</v>
      </c>
      <c r="BB115" s="27">
        <f t="shared" si="120"/>
        <v>0</v>
      </c>
      <c r="BC115" s="27">
        <f t="shared" si="121"/>
        <v>0</v>
      </c>
      <c r="BD115" s="27">
        <v>0</v>
      </c>
      <c r="BE115" s="27">
        <f t="shared" si="122"/>
        <v>0</v>
      </c>
      <c r="BG115" s="26">
        <f t="shared" si="123"/>
        <v>0</v>
      </c>
      <c r="BH115" s="26">
        <f t="shared" si="124"/>
        <v>0</v>
      </c>
      <c r="BI115" s="26">
        <f t="shared" si="125"/>
        <v>0</v>
      </c>
    </row>
    <row r="116" spans="1:61" ht="12.75" hidden="1">
      <c r="A116" s="24" t="s">
        <v>107</v>
      </c>
      <c r="B116" s="25"/>
      <c r="C116" s="25" t="s">
        <v>354</v>
      </c>
      <c r="D116" s="25" t="s">
        <v>601</v>
      </c>
      <c r="E116" s="25" t="s">
        <v>753</v>
      </c>
      <c r="F116" s="47">
        <v>0</v>
      </c>
      <c r="G116" s="26">
        <f>'Smluvní ceník'!G116</f>
        <v>0</v>
      </c>
      <c r="H116" s="26">
        <f t="shared" si="102"/>
        <v>0</v>
      </c>
      <c r="I116" s="26">
        <f t="shared" si="103"/>
        <v>0</v>
      </c>
      <c r="J116" s="26">
        <f t="shared" si="104"/>
        <v>0</v>
      </c>
      <c r="K116" s="26">
        <v>0</v>
      </c>
      <c r="L116" s="26">
        <f t="shared" si="105"/>
        <v>0</v>
      </c>
      <c r="Y116" s="27">
        <f t="shared" si="106"/>
        <v>0</v>
      </c>
      <c r="AA116" s="27">
        <f t="shared" si="107"/>
        <v>0</v>
      </c>
      <c r="AB116" s="27">
        <f t="shared" si="108"/>
        <v>0</v>
      </c>
      <c r="AC116" s="27">
        <f t="shared" si="109"/>
        <v>0</v>
      </c>
      <c r="AD116" s="27">
        <f t="shared" si="110"/>
        <v>0</v>
      </c>
      <c r="AE116" s="27">
        <f t="shared" si="111"/>
        <v>0</v>
      </c>
      <c r="AF116" s="27">
        <f t="shared" si="112"/>
        <v>0</v>
      </c>
      <c r="AG116" s="27">
        <f t="shared" si="113"/>
        <v>0</v>
      </c>
      <c r="AH116" s="17"/>
      <c r="AI116" s="26">
        <f t="shared" si="114"/>
        <v>0</v>
      </c>
      <c r="AJ116" s="26">
        <f t="shared" si="115"/>
        <v>0</v>
      </c>
      <c r="AK116" s="26">
        <f t="shared" si="116"/>
        <v>0</v>
      </c>
      <c r="AM116" s="27">
        <v>21</v>
      </c>
      <c r="AN116" s="27">
        <f>G116*0</f>
        <v>0</v>
      </c>
      <c r="AO116" s="27">
        <f>G116*(1-0)</f>
        <v>0</v>
      </c>
      <c r="AP116" s="28" t="s">
        <v>13</v>
      </c>
      <c r="AU116" s="27">
        <f t="shared" si="117"/>
        <v>0</v>
      </c>
      <c r="AV116" s="27">
        <f t="shared" si="118"/>
        <v>0</v>
      </c>
      <c r="AW116" s="27">
        <f t="shared" si="119"/>
        <v>0</v>
      </c>
      <c r="AX116" s="29" t="s">
        <v>785</v>
      </c>
      <c r="AY116" s="29" t="s">
        <v>793</v>
      </c>
      <c r="AZ116" s="17" t="s">
        <v>796</v>
      </c>
      <c r="BB116" s="27">
        <f t="shared" si="120"/>
        <v>0</v>
      </c>
      <c r="BC116" s="27">
        <f t="shared" si="121"/>
        <v>0</v>
      </c>
      <c r="BD116" s="27">
        <v>0</v>
      </c>
      <c r="BE116" s="27">
        <f t="shared" si="122"/>
        <v>0</v>
      </c>
      <c r="BG116" s="26">
        <f t="shared" si="123"/>
        <v>0</v>
      </c>
      <c r="BH116" s="26">
        <f t="shared" si="124"/>
        <v>0</v>
      </c>
      <c r="BI116" s="26">
        <f t="shared" si="125"/>
        <v>0</v>
      </c>
    </row>
    <row r="117" spans="1:61" ht="12.75">
      <c r="A117" s="24" t="s">
        <v>108</v>
      </c>
      <c r="B117" s="25"/>
      <c r="C117" s="25" t="s">
        <v>355</v>
      </c>
      <c r="D117" s="25" t="s">
        <v>602</v>
      </c>
      <c r="E117" s="25" t="s">
        <v>753</v>
      </c>
      <c r="F117" s="47">
        <v>5</v>
      </c>
      <c r="G117" s="26">
        <f>'Smluvní ceník'!G117</f>
        <v>0</v>
      </c>
      <c r="H117" s="26">
        <f t="shared" si="102"/>
        <v>0</v>
      </c>
      <c r="I117" s="26">
        <f t="shared" si="103"/>
        <v>0</v>
      </c>
      <c r="J117" s="26">
        <f t="shared" si="104"/>
        <v>0</v>
      </c>
      <c r="K117" s="26">
        <v>0</v>
      </c>
      <c r="L117" s="26">
        <f t="shared" si="105"/>
        <v>0</v>
      </c>
      <c r="Y117" s="27">
        <f t="shared" si="106"/>
        <v>0</v>
      </c>
      <c r="AA117" s="27">
        <f t="shared" si="107"/>
        <v>0</v>
      </c>
      <c r="AB117" s="27">
        <f t="shared" si="108"/>
        <v>0</v>
      </c>
      <c r="AC117" s="27">
        <f t="shared" si="109"/>
        <v>0</v>
      </c>
      <c r="AD117" s="27">
        <f t="shared" si="110"/>
        <v>0</v>
      </c>
      <c r="AE117" s="27">
        <f t="shared" si="111"/>
        <v>0</v>
      </c>
      <c r="AF117" s="27">
        <f t="shared" si="112"/>
        <v>0</v>
      </c>
      <c r="AG117" s="27">
        <f t="shared" si="113"/>
        <v>0</v>
      </c>
      <c r="AH117" s="17"/>
      <c r="AI117" s="26">
        <f t="shared" si="114"/>
        <v>0</v>
      </c>
      <c r="AJ117" s="26">
        <f t="shared" si="115"/>
        <v>0</v>
      </c>
      <c r="AK117" s="26">
        <f t="shared" si="116"/>
        <v>0</v>
      </c>
      <c r="AM117" s="27">
        <v>21</v>
      </c>
      <c r="AN117" s="27">
        <f>G117*0</f>
        <v>0</v>
      </c>
      <c r="AO117" s="27">
        <f>G117*(1-0)</f>
        <v>0</v>
      </c>
      <c r="AP117" s="28" t="s">
        <v>13</v>
      </c>
      <c r="AU117" s="27">
        <f t="shared" si="117"/>
        <v>0</v>
      </c>
      <c r="AV117" s="27">
        <f t="shared" si="118"/>
        <v>0</v>
      </c>
      <c r="AW117" s="27">
        <f t="shared" si="119"/>
        <v>0</v>
      </c>
      <c r="AX117" s="29" t="s">
        <v>785</v>
      </c>
      <c r="AY117" s="29" t="s">
        <v>793</v>
      </c>
      <c r="AZ117" s="17" t="s">
        <v>796</v>
      </c>
      <c r="BB117" s="27">
        <f t="shared" si="120"/>
        <v>0</v>
      </c>
      <c r="BC117" s="27">
        <f t="shared" si="121"/>
        <v>0</v>
      </c>
      <c r="BD117" s="27">
        <v>0</v>
      </c>
      <c r="BE117" s="27">
        <f t="shared" si="122"/>
        <v>0</v>
      </c>
      <c r="BG117" s="26">
        <f t="shared" si="123"/>
        <v>0</v>
      </c>
      <c r="BH117" s="26">
        <f t="shared" si="124"/>
        <v>0</v>
      </c>
      <c r="BI117" s="26">
        <f t="shared" si="125"/>
        <v>0</v>
      </c>
    </row>
    <row r="118" spans="1:61" ht="12.75" hidden="1">
      <c r="A118" s="24" t="s">
        <v>109</v>
      </c>
      <c r="B118" s="25"/>
      <c r="C118" s="25" t="s">
        <v>356</v>
      </c>
      <c r="D118" s="25" t="s">
        <v>603</v>
      </c>
      <c r="E118" s="25" t="s">
        <v>753</v>
      </c>
      <c r="F118" s="47">
        <v>0</v>
      </c>
      <c r="G118" s="26">
        <f>'Smluvní ceník'!G118</f>
        <v>0</v>
      </c>
      <c r="H118" s="26">
        <f t="shared" si="102"/>
        <v>0</v>
      </c>
      <c r="I118" s="26">
        <f t="shared" si="103"/>
        <v>0</v>
      </c>
      <c r="J118" s="26">
        <f t="shared" si="104"/>
        <v>0</v>
      </c>
      <c r="K118" s="26">
        <v>0</v>
      </c>
      <c r="L118" s="26">
        <f t="shared" si="105"/>
        <v>0</v>
      </c>
      <c r="Y118" s="27">
        <f t="shared" si="106"/>
        <v>0</v>
      </c>
      <c r="AA118" s="27">
        <f t="shared" si="107"/>
        <v>0</v>
      </c>
      <c r="AB118" s="27">
        <f t="shared" si="108"/>
        <v>0</v>
      </c>
      <c r="AC118" s="27">
        <f t="shared" si="109"/>
        <v>0</v>
      </c>
      <c r="AD118" s="27">
        <f t="shared" si="110"/>
        <v>0</v>
      </c>
      <c r="AE118" s="27">
        <f t="shared" si="111"/>
        <v>0</v>
      </c>
      <c r="AF118" s="27">
        <f t="shared" si="112"/>
        <v>0</v>
      </c>
      <c r="AG118" s="27">
        <f t="shared" si="113"/>
        <v>0</v>
      </c>
      <c r="AH118" s="17"/>
      <c r="AI118" s="26">
        <f t="shared" si="114"/>
        <v>0</v>
      </c>
      <c r="AJ118" s="26">
        <f t="shared" si="115"/>
        <v>0</v>
      </c>
      <c r="AK118" s="26">
        <f t="shared" si="116"/>
        <v>0</v>
      </c>
      <c r="AM118" s="27">
        <v>21</v>
      </c>
      <c r="AN118" s="27">
        <f>G118*0</f>
        <v>0</v>
      </c>
      <c r="AO118" s="27">
        <f>G118*(1-0)</f>
        <v>0</v>
      </c>
      <c r="AP118" s="28" t="s">
        <v>13</v>
      </c>
      <c r="AU118" s="27">
        <f t="shared" si="117"/>
        <v>0</v>
      </c>
      <c r="AV118" s="27">
        <f t="shared" si="118"/>
        <v>0</v>
      </c>
      <c r="AW118" s="27">
        <f t="shared" si="119"/>
        <v>0</v>
      </c>
      <c r="AX118" s="29" t="s">
        <v>785</v>
      </c>
      <c r="AY118" s="29" t="s">
        <v>793</v>
      </c>
      <c r="AZ118" s="17" t="s">
        <v>796</v>
      </c>
      <c r="BB118" s="27">
        <f t="shared" si="120"/>
        <v>0</v>
      </c>
      <c r="BC118" s="27">
        <f t="shared" si="121"/>
        <v>0</v>
      </c>
      <c r="BD118" s="27">
        <v>0</v>
      </c>
      <c r="BE118" s="27">
        <f t="shared" si="122"/>
        <v>0</v>
      </c>
      <c r="BG118" s="26">
        <f t="shared" si="123"/>
        <v>0</v>
      </c>
      <c r="BH118" s="26">
        <f t="shared" si="124"/>
        <v>0</v>
      </c>
      <c r="BI118" s="26">
        <f t="shared" si="125"/>
        <v>0</v>
      </c>
    </row>
    <row r="119" spans="1:61" ht="12.75">
      <c r="A119" s="24" t="s">
        <v>110</v>
      </c>
      <c r="B119" s="25"/>
      <c r="C119" s="25" t="s">
        <v>357</v>
      </c>
      <c r="D119" s="25" t="s">
        <v>604</v>
      </c>
      <c r="E119" s="25" t="s">
        <v>753</v>
      </c>
      <c r="F119" s="47">
        <v>5</v>
      </c>
      <c r="G119" s="26">
        <f>'Smluvní ceník'!G119</f>
        <v>0</v>
      </c>
      <c r="H119" s="26">
        <f t="shared" si="102"/>
        <v>0</v>
      </c>
      <c r="I119" s="26">
        <f t="shared" si="103"/>
        <v>0</v>
      </c>
      <c r="J119" s="26">
        <f t="shared" si="104"/>
        <v>0</v>
      </c>
      <c r="K119" s="26">
        <v>2E-05</v>
      </c>
      <c r="L119" s="26">
        <f t="shared" si="105"/>
        <v>0.0001</v>
      </c>
      <c r="Y119" s="27">
        <f t="shared" si="106"/>
        <v>0</v>
      </c>
      <c r="AA119" s="27">
        <f t="shared" si="107"/>
        <v>0</v>
      </c>
      <c r="AB119" s="27">
        <f t="shared" si="108"/>
        <v>0</v>
      </c>
      <c r="AC119" s="27">
        <f t="shared" si="109"/>
        <v>0</v>
      </c>
      <c r="AD119" s="27">
        <f t="shared" si="110"/>
        <v>0</v>
      </c>
      <c r="AE119" s="27">
        <f t="shared" si="111"/>
        <v>0</v>
      </c>
      <c r="AF119" s="27">
        <f t="shared" si="112"/>
        <v>0</v>
      </c>
      <c r="AG119" s="27">
        <f t="shared" si="113"/>
        <v>0</v>
      </c>
      <c r="AH119" s="17"/>
      <c r="AI119" s="26">
        <f t="shared" si="114"/>
        <v>0</v>
      </c>
      <c r="AJ119" s="26">
        <f t="shared" si="115"/>
        <v>0</v>
      </c>
      <c r="AK119" s="26">
        <f t="shared" si="116"/>
        <v>0</v>
      </c>
      <c r="AM119" s="27">
        <v>21</v>
      </c>
      <c r="AN119" s="27">
        <f>G119*0.0363619156777901</f>
        <v>0</v>
      </c>
      <c r="AO119" s="27">
        <f>G119*(1-0.0363619156777901)</f>
        <v>0</v>
      </c>
      <c r="AP119" s="28" t="s">
        <v>13</v>
      </c>
      <c r="AU119" s="27">
        <f t="shared" si="117"/>
        <v>0</v>
      </c>
      <c r="AV119" s="27">
        <f t="shared" si="118"/>
        <v>0</v>
      </c>
      <c r="AW119" s="27">
        <f t="shared" si="119"/>
        <v>0</v>
      </c>
      <c r="AX119" s="29" t="s">
        <v>785</v>
      </c>
      <c r="AY119" s="29" t="s">
        <v>793</v>
      </c>
      <c r="AZ119" s="17" t="s">
        <v>796</v>
      </c>
      <c r="BB119" s="27">
        <f t="shared" si="120"/>
        <v>0</v>
      </c>
      <c r="BC119" s="27">
        <f t="shared" si="121"/>
        <v>0</v>
      </c>
      <c r="BD119" s="27">
        <v>0</v>
      </c>
      <c r="BE119" s="27">
        <f t="shared" si="122"/>
        <v>0.0001</v>
      </c>
      <c r="BG119" s="26">
        <f t="shared" si="123"/>
        <v>0</v>
      </c>
      <c r="BH119" s="26">
        <f t="shared" si="124"/>
        <v>0</v>
      </c>
      <c r="BI119" s="26">
        <f t="shared" si="125"/>
        <v>0</v>
      </c>
    </row>
    <row r="120" spans="1:61" ht="12.75" hidden="1">
      <c r="A120" s="24" t="s">
        <v>111</v>
      </c>
      <c r="B120" s="25"/>
      <c r="C120" s="25" t="s">
        <v>358</v>
      </c>
      <c r="D120" s="25" t="s">
        <v>605</v>
      </c>
      <c r="E120" s="25" t="s">
        <v>753</v>
      </c>
      <c r="F120" s="26">
        <v>0</v>
      </c>
      <c r="G120" s="26">
        <f>'Smluvní ceník'!G120</f>
        <v>0</v>
      </c>
      <c r="H120" s="26">
        <f t="shared" si="102"/>
        <v>0</v>
      </c>
      <c r="I120" s="26">
        <f t="shared" si="103"/>
        <v>0</v>
      </c>
      <c r="J120" s="26">
        <f t="shared" si="104"/>
        <v>0</v>
      </c>
      <c r="K120" s="26">
        <v>2E-05</v>
      </c>
      <c r="L120" s="26">
        <f t="shared" si="105"/>
        <v>0</v>
      </c>
      <c r="Y120" s="27">
        <f t="shared" si="106"/>
        <v>0</v>
      </c>
      <c r="AA120" s="27">
        <f t="shared" si="107"/>
        <v>0</v>
      </c>
      <c r="AB120" s="27">
        <f t="shared" si="108"/>
        <v>0</v>
      </c>
      <c r="AC120" s="27">
        <f t="shared" si="109"/>
        <v>0</v>
      </c>
      <c r="AD120" s="27">
        <f t="shared" si="110"/>
        <v>0</v>
      </c>
      <c r="AE120" s="27">
        <f t="shared" si="111"/>
        <v>0</v>
      </c>
      <c r="AF120" s="27">
        <f t="shared" si="112"/>
        <v>0</v>
      </c>
      <c r="AG120" s="27">
        <f t="shared" si="113"/>
        <v>0</v>
      </c>
      <c r="AH120" s="17"/>
      <c r="AI120" s="26">
        <f t="shared" si="114"/>
        <v>0</v>
      </c>
      <c r="AJ120" s="26">
        <f t="shared" si="115"/>
        <v>0</v>
      </c>
      <c r="AK120" s="26">
        <f t="shared" si="116"/>
        <v>0</v>
      </c>
      <c r="AM120" s="27">
        <v>21</v>
      </c>
      <c r="AN120" s="27">
        <f>G120*0.0363194748358862</f>
        <v>0</v>
      </c>
      <c r="AO120" s="27">
        <f>G120*(1-0.0363194748358862)</f>
        <v>0</v>
      </c>
      <c r="AP120" s="28" t="s">
        <v>13</v>
      </c>
      <c r="AU120" s="27">
        <f t="shared" si="117"/>
        <v>0</v>
      </c>
      <c r="AV120" s="27">
        <f t="shared" si="118"/>
        <v>0</v>
      </c>
      <c r="AW120" s="27">
        <f t="shared" si="119"/>
        <v>0</v>
      </c>
      <c r="AX120" s="29" t="s">
        <v>785</v>
      </c>
      <c r="AY120" s="29" t="s">
        <v>793</v>
      </c>
      <c r="AZ120" s="17" t="s">
        <v>796</v>
      </c>
      <c r="BB120" s="27">
        <f t="shared" si="120"/>
        <v>0</v>
      </c>
      <c r="BC120" s="27">
        <f t="shared" si="121"/>
        <v>0</v>
      </c>
      <c r="BD120" s="27">
        <v>0</v>
      </c>
      <c r="BE120" s="27">
        <f t="shared" si="122"/>
        <v>0</v>
      </c>
      <c r="BG120" s="26">
        <f t="shared" si="123"/>
        <v>0</v>
      </c>
      <c r="BH120" s="26">
        <f t="shared" si="124"/>
        <v>0</v>
      </c>
      <c r="BI120" s="26">
        <f t="shared" si="125"/>
        <v>0</v>
      </c>
    </row>
    <row r="121" spans="1:61" ht="12.75" hidden="1">
      <c r="A121" s="24" t="s">
        <v>112</v>
      </c>
      <c r="B121" s="25"/>
      <c r="C121" s="25" t="s">
        <v>359</v>
      </c>
      <c r="D121" s="25" t="s">
        <v>606</v>
      </c>
      <c r="E121" s="25" t="s">
        <v>750</v>
      </c>
      <c r="F121" s="26">
        <v>0</v>
      </c>
      <c r="G121" s="26">
        <f>'Smluvní ceník'!G121</f>
        <v>0</v>
      </c>
      <c r="H121" s="26">
        <f t="shared" si="102"/>
        <v>0</v>
      </c>
      <c r="I121" s="26">
        <f t="shared" si="103"/>
        <v>0</v>
      </c>
      <c r="J121" s="26">
        <f t="shared" si="104"/>
        <v>0</v>
      </c>
      <c r="K121" s="26">
        <v>0.01695</v>
      </c>
      <c r="L121" s="26">
        <f t="shared" si="105"/>
        <v>0</v>
      </c>
      <c r="Y121" s="27">
        <f t="shared" si="106"/>
        <v>0</v>
      </c>
      <c r="AA121" s="27">
        <f t="shared" si="107"/>
        <v>0</v>
      </c>
      <c r="AB121" s="27">
        <f t="shared" si="108"/>
        <v>0</v>
      </c>
      <c r="AC121" s="27">
        <f t="shared" si="109"/>
        <v>0</v>
      </c>
      <c r="AD121" s="27">
        <f t="shared" si="110"/>
        <v>0</v>
      </c>
      <c r="AE121" s="27">
        <f t="shared" si="111"/>
        <v>0</v>
      </c>
      <c r="AF121" s="27">
        <f t="shared" si="112"/>
        <v>0</v>
      </c>
      <c r="AG121" s="27">
        <f t="shared" si="113"/>
        <v>0</v>
      </c>
      <c r="AH121" s="17"/>
      <c r="AI121" s="26">
        <f t="shared" si="114"/>
        <v>0</v>
      </c>
      <c r="AJ121" s="26">
        <f t="shared" si="115"/>
        <v>0</v>
      </c>
      <c r="AK121" s="26">
        <f t="shared" si="116"/>
        <v>0</v>
      </c>
      <c r="AM121" s="27">
        <v>21</v>
      </c>
      <c r="AN121" s="27">
        <f>G121*0.8</f>
        <v>0</v>
      </c>
      <c r="AO121" s="27">
        <f>G121*(1-0.8)</f>
        <v>0</v>
      </c>
      <c r="AP121" s="28" t="s">
        <v>13</v>
      </c>
      <c r="AU121" s="27">
        <f t="shared" si="117"/>
        <v>0</v>
      </c>
      <c r="AV121" s="27">
        <f t="shared" si="118"/>
        <v>0</v>
      </c>
      <c r="AW121" s="27">
        <f t="shared" si="119"/>
        <v>0</v>
      </c>
      <c r="AX121" s="29" t="s">
        <v>785</v>
      </c>
      <c r="AY121" s="29" t="s">
        <v>793</v>
      </c>
      <c r="AZ121" s="17" t="s">
        <v>796</v>
      </c>
      <c r="BB121" s="27">
        <f t="shared" si="120"/>
        <v>0</v>
      </c>
      <c r="BC121" s="27">
        <f t="shared" si="121"/>
        <v>0</v>
      </c>
      <c r="BD121" s="27">
        <v>0</v>
      </c>
      <c r="BE121" s="27">
        <f t="shared" si="122"/>
        <v>0</v>
      </c>
      <c r="BG121" s="26">
        <f t="shared" si="123"/>
        <v>0</v>
      </c>
      <c r="BH121" s="26">
        <f t="shared" si="124"/>
        <v>0</v>
      </c>
      <c r="BI121" s="26">
        <f t="shared" si="125"/>
        <v>0</v>
      </c>
    </row>
    <row r="122" spans="4:7" ht="12" hidden="1">
      <c r="D122" s="39" t="s">
        <v>607</v>
      </c>
      <c r="G122" s="26"/>
    </row>
    <row r="123" spans="1:61" ht="12.75">
      <c r="A123" s="24" t="s">
        <v>113</v>
      </c>
      <c r="B123" s="25"/>
      <c r="C123" s="25" t="s">
        <v>360</v>
      </c>
      <c r="D123" s="25" t="s">
        <v>608</v>
      </c>
      <c r="E123" s="25" t="s">
        <v>753</v>
      </c>
      <c r="F123" s="26">
        <v>3</v>
      </c>
      <c r="G123" s="26">
        <f>'Smluvní ceník'!G123</f>
        <v>0</v>
      </c>
      <c r="H123" s="26">
        <f aca="true" t="shared" si="126" ref="H123:H137">F123*AN123</f>
        <v>0</v>
      </c>
      <c r="I123" s="26">
        <f aca="true" t="shared" si="127" ref="I123:I137">F123*AO123</f>
        <v>0</v>
      </c>
      <c r="J123" s="26">
        <f aca="true" t="shared" si="128" ref="J123:J137">F123*G123</f>
        <v>0</v>
      </c>
      <c r="K123" s="26">
        <v>0</v>
      </c>
      <c r="L123" s="26">
        <f aca="true" t="shared" si="129" ref="L123:L137">F123*K123</f>
        <v>0</v>
      </c>
      <c r="Y123" s="27">
        <f aca="true" t="shared" si="130" ref="Y123:Y137">IF(AP123="5",BI123,0)</f>
        <v>0</v>
      </c>
      <c r="AA123" s="27">
        <f aca="true" t="shared" si="131" ref="AA123:AA137">IF(AP123="1",BG123,0)</f>
        <v>0</v>
      </c>
      <c r="AB123" s="27">
        <f aca="true" t="shared" si="132" ref="AB123:AB137">IF(AP123="1",BH123,0)</f>
        <v>0</v>
      </c>
      <c r="AC123" s="27">
        <f aca="true" t="shared" si="133" ref="AC123:AC137">IF(AP123="7",BG123,0)</f>
        <v>0</v>
      </c>
      <c r="AD123" s="27">
        <f aca="true" t="shared" si="134" ref="AD123:AD137">IF(AP123="7",BH123,0)</f>
        <v>0</v>
      </c>
      <c r="AE123" s="27">
        <f aca="true" t="shared" si="135" ref="AE123:AE137">IF(AP123="2",BG123,0)</f>
        <v>0</v>
      </c>
      <c r="AF123" s="27">
        <f aca="true" t="shared" si="136" ref="AF123:AF137">IF(AP123="2",BH123,0)</f>
        <v>0</v>
      </c>
      <c r="AG123" s="27">
        <f aca="true" t="shared" si="137" ref="AG123:AG137">IF(AP123="0",BI123,0)</f>
        <v>0</v>
      </c>
      <c r="AH123" s="17"/>
      <c r="AI123" s="26">
        <f aca="true" t="shared" si="138" ref="AI123:AI137">IF(AM123=0,J123,0)</f>
        <v>0</v>
      </c>
      <c r="AJ123" s="26">
        <f aca="true" t="shared" si="139" ref="AJ123:AJ137">IF(AM123=15,J123,0)</f>
        <v>0</v>
      </c>
      <c r="AK123" s="26">
        <f aca="true" t="shared" si="140" ref="AK123:AK137">IF(AM123=21,J123,0)</f>
        <v>0</v>
      </c>
      <c r="AM123" s="27">
        <v>21</v>
      </c>
      <c r="AN123" s="27">
        <f aca="true" t="shared" si="141" ref="AN123:AN137">G123*0</f>
        <v>0</v>
      </c>
      <c r="AO123" s="27">
        <f aca="true" t="shared" si="142" ref="AO123:AO137">G123*(1-0)</f>
        <v>0</v>
      </c>
      <c r="AP123" s="28" t="s">
        <v>13</v>
      </c>
      <c r="AU123" s="27">
        <f aca="true" t="shared" si="143" ref="AU123:AU137">AV123+AW123</f>
        <v>0</v>
      </c>
      <c r="AV123" s="27">
        <f aca="true" t="shared" si="144" ref="AV123:AV137">F123*AN123</f>
        <v>0</v>
      </c>
      <c r="AW123" s="27">
        <f aca="true" t="shared" si="145" ref="AW123:AW137">F123*AO123</f>
        <v>0</v>
      </c>
      <c r="AX123" s="29" t="s">
        <v>785</v>
      </c>
      <c r="AY123" s="29" t="s">
        <v>793</v>
      </c>
      <c r="AZ123" s="17" t="s">
        <v>796</v>
      </c>
      <c r="BB123" s="27">
        <f aca="true" t="shared" si="146" ref="BB123:BB137">AV123+AW123</f>
        <v>0</v>
      </c>
      <c r="BC123" s="27">
        <f aca="true" t="shared" si="147" ref="BC123:BC137">G123/(100-BD123)*100</f>
        <v>0</v>
      </c>
      <c r="BD123" s="27">
        <v>0</v>
      </c>
      <c r="BE123" s="27">
        <f aca="true" t="shared" si="148" ref="BE123:BE137">L123</f>
        <v>0</v>
      </c>
      <c r="BG123" s="26">
        <f aca="true" t="shared" si="149" ref="BG123:BG137">F123*AN123</f>
        <v>0</v>
      </c>
      <c r="BH123" s="26">
        <f aca="true" t="shared" si="150" ref="BH123:BH137">F123*AO123</f>
        <v>0</v>
      </c>
      <c r="BI123" s="26">
        <f aca="true" t="shared" si="151" ref="BI123:BI137">F123*G123</f>
        <v>0</v>
      </c>
    </row>
    <row r="124" spans="1:61" ht="12.75" hidden="1">
      <c r="A124" s="24" t="s">
        <v>114</v>
      </c>
      <c r="B124" s="25"/>
      <c r="C124" s="25" t="s">
        <v>361</v>
      </c>
      <c r="D124" s="25" t="s">
        <v>609</v>
      </c>
      <c r="E124" s="25" t="s">
        <v>753</v>
      </c>
      <c r="F124" s="26">
        <v>0</v>
      </c>
      <c r="G124" s="26">
        <f>'Smluvní ceník'!G124</f>
        <v>0</v>
      </c>
      <c r="H124" s="26">
        <f t="shared" si="126"/>
        <v>0</v>
      </c>
      <c r="I124" s="26">
        <f t="shared" si="127"/>
        <v>0</v>
      </c>
      <c r="J124" s="26">
        <f t="shared" si="128"/>
        <v>0</v>
      </c>
      <c r="K124" s="26">
        <v>0</v>
      </c>
      <c r="L124" s="26">
        <f t="shared" si="129"/>
        <v>0</v>
      </c>
      <c r="Y124" s="27">
        <f t="shared" si="130"/>
        <v>0</v>
      </c>
      <c r="AA124" s="27">
        <f t="shared" si="131"/>
        <v>0</v>
      </c>
      <c r="AB124" s="27">
        <f t="shared" si="132"/>
        <v>0</v>
      </c>
      <c r="AC124" s="27">
        <f t="shared" si="133"/>
        <v>0</v>
      </c>
      <c r="AD124" s="27">
        <f t="shared" si="134"/>
        <v>0</v>
      </c>
      <c r="AE124" s="27">
        <f t="shared" si="135"/>
        <v>0</v>
      </c>
      <c r="AF124" s="27">
        <f t="shared" si="136"/>
        <v>0</v>
      </c>
      <c r="AG124" s="27">
        <f t="shared" si="137"/>
        <v>0</v>
      </c>
      <c r="AH124" s="17"/>
      <c r="AI124" s="26">
        <f t="shared" si="138"/>
        <v>0</v>
      </c>
      <c r="AJ124" s="26">
        <f t="shared" si="139"/>
        <v>0</v>
      </c>
      <c r="AK124" s="26">
        <f t="shared" si="140"/>
        <v>0</v>
      </c>
      <c r="AM124" s="27">
        <v>21</v>
      </c>
      <c r="AN124" s="27">
        <f t="shared" si="141"/>
        <v>0</v>
      </c>
      <c r="AO124" s="27">
        <f t="shared" si="142"/>
        <v>0</v>
      </c>
      <c r="AP124" s="28" t="s">
        <v>13</v>
      </c>
      <c r="AU124" s="27">
        <f t="shared" si="143"/>
        <v>0</v>
      </c>
      <c r="AV124" s="27">
        <f t="shared" si="144"/>
        <v>0</v>
      </c>
      <c r="AW124" s="27">
        <f t="shared" si="145"/>
        <v>0</v>
      </c>
      <c r="AX124" s="29" t="s">
        <v>785</v>
      </c>
      <c r="AY124" s="29" t="s">
        <v>793</v>
      </c>
      <c r="AZ124" s="17" t="s">
        <v>796</v>
      </c>
      <c r="BB124" s="27">
        <f t="shared" si="146"/>
        <v>0</v>
      </c>
      <c r="BC124" s="27">
        <f t="shared" si="147"/>
        <v>0</v>
      </c>
      <c r="BD124" s="27">
        <v>0</v>
      </c>
      <c r="BE124" s="27">
        <f t="shared" si="148"/>
        <v>0</v>
      </c>
      <c r="BG124" s="26">
        <f t="shared" si="149"/>
        <v>0</v>
      </c>
      <c r="BH124" s="26">
        <f t="shared" si="150"/>
        <v>0</v>
      </c>
      <c r="BI124" s="26">
        <f t="shared" si="151"/>
        <v>0</v>
      </c>
    </row>
    <row r="125" spans="1:61" ht="12.75">
      <c r="A125" s="24" t="s">
        <v>115</v>
      </c>
      <c r="B125" s="25"/>
      <c r="C125" s="25" t="s">
        <v>362</v>
      </c>
      <c r="D125" s="25" t="s">
        <v>610</v>
      </c>
      <c r="E125" s="25" t="s">
        <v>753</v>
      </c>
      <c r="F125" s="26">
        <v>3</v>
      </c>
      <c r="G125" s="26">
        <f>'Smluvní ceník'!G125</f>
        <v>0</v>
      </c>
      <c r="H125" s="26">
        <f t="shared" si="126"/>
        <v>0</v>
      </c>
      <c r="I125" s="26">
        <f t="shared" si="127"/>
        <v>0</v>
      </c>
      <c r="J125" s="26">
        <f t="shared" si="128"/>
        <v>0</v>
      </c>
      <c r="K125" s="26">
        <v>0</v>
      </c>
      <c r="L125" s="26">
        <f t="shared" si="129"/>
        <v>0</v>
      </c>
      <c r="Y125" s="27">
        <f t="shared" si="130"/>
        <v>0</v>
      </c>
      <c r="AA125" s="27">
        <f t="shared" si="131"/>
        <v>0</v>
      </c>
      <c r="AB125" s="27">
        <f t="shared" si="132"/>
        <v>0</v>
      </c>
      <c r="AC125" s="27">
        <f t="shared" si="133"/>
        <v>0</v>
      </c>
      <c r="AD125" s="27">
        <f t="shared" si="134"/>
        <v>0</v>
      </c>
      <c r="AE125" s="27">
        <f t="shared" si="135"/>
        <v>0</v>
      </c>
      <c r="AF125" s="27">
        <f t="shared" si="136"/>
        <v>0</v>
      </c>
      <c r="AG125" s="27">
        <f t="shared" si="137"/>
        <v>0</v>
      </c>
      <c r="AH125" s="17"/>
      <c r="AI125" s="26">
        <f t="shared" si="138"/>
        <v>0</v>
      </c>
      <c r="AJ125" s="26">
        <f t="shared" si="139"/>
        <v>0</v>
      </c>
      <c r="AK125" s="26">
        <f t="shared" si="140"/>
        <v>0</v>
      </c>
      <c r="AM125" s="27">
        <v>21</v>
      </c>
      <c r="AN125" s="27">
        <f t="shared" si="141"/>
        <v>0</v>
      </c>
      <c r="AO125" s="27">
        <f t="shared" si="142"/>
        <v>0</v>
      </c>
      <c r="AP125" s="28" t="s">
        <v>13</v>
      </c>
      <c r="AU125" s="27">
        <f t="shared" si="143"/>
        <v>0</v>
      </c>
      <c r="AV125" s="27">
        <f t="shared" si="144"/>
        <v>0</v>
      </c>
      <c r="AW125" s="27">
        <f t="shared" si="145"/>
        <v>0</v>
      </c>
      <c r="AX125" s="29" t="s">
        <v>785</v>
      </c>
      <c r="AY125" s="29" t="s">
        <v>793</v>
      </c>
      <c r="AZ125" s="17" t="s">
        <v>796</v>
      </c>
      <c r="BB125" s="27">
        <f t="shared" si="146"/>
        <v>0</v>
      </c>
      <c r="BC125" s="27">
        <f t="shared" si="147"/>
        <v>0</v>
      </c>
      <c r="BD125" s="27">
        <v>0</v>
      </c>
      <c r="BE125" s="27">
        <f t="shared" si="148"/>
        <v>0</v>
      </c>
      <c r="BG125" s="26">
        <f t="shared" si="149"/>
        <v>0</v>
      </c>
      <c r="BH125" s="26">
        <f t="shared" si="150"/>
        <v>0</v>
      </c>
      <c r="BI125" s="26">
        <f t="shared" si="151"/>
        <v>0</v>
      </c>
    </row>
    <row r="126" spans="1:61" ht="12.75" hidden="1">
      <c r="A126" s="24" t="s">
        <v>116</v>
      </c>
      <c r="B126" s="25"/>
      <c r="C126" s="25" t="s">
        <v>363</v>
      </c>
      <c r="D126" s="25" t="s">
        <v>611</v>
      </c>
      <c r="E126" s="25" t="s">
        <v>753</v>
      </c>
      <c r="F126" s="26">
        <v>0</v>
      </c>
      <c r="G126" s="26">
        <f>'Smluvní ceník'!G126</f>
        <v>0</v>
      </c>
      <c r="H126" s="26">
        <f t="shared" si="126"/>
        <v>0</v>
      </c>
      <c r="I126" s="26">
        <f t="shared" si="127"/>
        <v>0</v>
      </c>
      <c r="J126" s="26">
        <f t="shared" si="128"/>
        <v>0</v>
      </c>
      <c r="K126" s="26">
        <v>0</v>
      </c>
      <c r="L126" s="26">
        <f t="shared" si="129"/>
        <v>0</v>
      </c>
      <c r="Y126" s="27">
        <f t="shared" si="130"/>
        <v>0</v>
      </c>
      <c r="AA126" s="27">
        <f t="shared" si="131"/>
        <v>0</v>
      </c>
      <c r="AB126" s="27">
        <f t="shared" si="132"/>
        <v>0</v>
      </c>
      <c r="AC126" s="27">
        <f t="shared" si="133"/>
        <v>0</v>
      </c>
      <c r="AD126" s="27">
        <f t="shared" si="134"/>
        <v>0</v>
      </c>
      <c r="AE126" s="27">
        <f t="shared" si="135"/>
        <v>0</v>
      </c>
      <c r="AF126" s="27">
        <f t="shared" si="136"/>
        <v>0</v>
      </c>
      <c r="AG126" s="27">
        <f t="shared" si="137"/>
        <v>0</v>
      </c>
      <c r="AH126" s="17"/>
      <c r="AI126" s="26">
        <f t="shared" si="138"/>
        <v>0</v>
      </c>
      <c r="AJ126" s="26">
        <f t="shared" si="139"/>
        <v>0</v>
      </c>
      <c r="AK126" s="26">
        <f t="shared" si="140"/>
        <v>0</v>
      </c>
      <c r="AM126" s="27">
        <v>21</v>
      </c>
      <c r="AN126" s="27">
        <f t="shared" si="141"/>
        <v>0</v>
      </c>
      <c r="AO126" s="27">
        <f t="shared" si="142"/>
        <v>0</v>
      </c>
      <c r="AP126" s="28" t="s">
        <v>13</v>
      </c>
      <c r="AU126" s="27">
        <f t="shared" si="143"/>
        <v>0</v>
      </c>
      <c r="AV126" s="27">
        <f t="shared" si="144"/>
        <v>0</v>
      </c>
      <c r="AW126" s="27">
        <f t="shared" si="145"/>
        <v>0</v>
      </c>
      <c r="AX126" s="29" t="s">
        <v>785</v>
      </c>
      <c r="AY126" s="29" t="s">
        <v>793</v>
      </c>
      <c r="AZ126" s="17" t="s">
        <v>796</v>
      </c>
      <c r="BB126" s="27">
        <f t="shared" si="146"/>
        <v>0</v>
      </c>
      <c r="BC126" s="27">
        <f t="shared" si="147"/>
        <v>0</v>
      </c>
      <c r="BD126" s="27">
        <v>0</v>
      </c>
      <c r="BE126" s="27">
        <f t="shared" si="148"/>
        <v>0</v>
      </c>
      <c r="BG126" s="26">
        <f t="shared" si="149"/>
        <v>0</v>
      </c>
      <c r="BH126" s="26">
        <f t="shared" si="150"/>
        <v>0</v>
      </c>
      <c r="BI126" s="26">
        <f t="shared" si="151"/>
        <v>0</v>
      </c>
    </row>
    <row r="127" spans="1:61" ht="12.75">
      <c r="A127" s="24" t="s">
        <v>117</v>
      </c>
      <c r="B127" s="25"/>
      <c r="C127" s="25" t="s">
        <v>364</v>
      </c>
      <c r="D127" s="25" t="s">
        <v>612</v>
      </c>
      <c r="E127" s="25" t="s">
        <v>752</v>
      </c>
      <c r="F127" s="47">
        <f>SUM(J35:J126)/100</f>
        <v>0</v>
      </c>
      <c r="G127" s="26">
        <f>'Smluvní ceník'!G127</f>
        <v>0</v>
      </c>
      <c r="H127" s="26">
        <f t="shared" si="126"/>
        <v>0</v>
      </c>
      <c r="I127" s="26">
        <f t="shared" si="127"/>
        <v>0</v>
      </c>
      <c r="J127" s="26">
        <f t="shared" si="128"/>
        <v>0</v>
      </c>
      <c r="K127" s="26">
        <v>0</v>
      </c>
      <c r="L127" s="26">
        <f t="shared" si="129"/>
        <v>0</v>
      </c>
      <c r="Y127" s="27">
        <f t="shared" si="130"/>
        <v>0</v>
      </c>
      <c r="AA127" s="27">
        <f t="shared" si="131"/>
        <v>0</v>
      </c>
      <c r="AB127" s="27">
        <f t="shared" si="132"/>
        <v>0</v>
      </c>
      <c r="AC127" s="27">
        <f t="shared" si="133"/>
        <v>0</v>
      </c>
      <c r="AD127" s="27">
        <f t="shared" si="134"/>
        <v>0</v>
      </c>
      <c r="AE127" s="27">
        <f t="shared" si="135"/>
        <v>0</v>
      </c>
      <c r="AF127" s="27">
        <f t="shared" si="136"/>
        <v>0</v>
      </c>
      <c r="AG127" s="27">
        <f t="shared" si="137"/>
        <v>0</v>
      </c>
      <c r="AH127" s="17"/>
      <c r="AI127" s="26">
        <f t="shared" si="138"/>
        <v>0</v>
      </c>
      <c r="AJ127" s="26">
        <f t="shared" si="139"/>
        <v>0</v>
      </c>
      <c r="AK127" s="26">
        <f t="shared" si="140"/>
        <v>0</v>
      </c>
      <c r="AM127" s="27">
        <v>21</v>
      </c>
      <c r="AN127" s="27">
        <f t="shared" si="141"/>
        <v>0</v>
      </c>
      <c r="AO127" s="27">
        <f t="shared" si="142"/>
        <v>0</v>
      </c>
      <c r="AP127" s="28" t="s">
        <v>11</v>
      </c>
      <c r="AU127" s="27">
        <f t="shared" si="143"/>
        <v>0</v>
      </c>
      <c r="AV127" s="27">
        <f t="shared" si="144"/>
        <v>0</v>
      </c>
      <c r="AW127" s="27">
        <f t="shared" si="145"/>
        <v>0</v>
      </c>
      <c r="AX127" s="29" t="s">
        <v>785</v>
      </c>
      <c r="AY127" s="29" t="s">
        <v>793</v>
      </c>
      <c r="AZ127" s="17" t="s">
        <v>796</v>
      </c>
      <c r="BB127" s="27">
        <f t="shared" si="146"/>
        <v>0</v>
      </c>
      <c r="BC127" s="27">
        <f t="shared" si="147"/>
        <v>0</v>
      </c>
      <c r="BD127" s="27">
        <v>0</v>
      </c>
      <c r="BE127" s="27">
        <f t="shared" si="148"/>
        <v>0</v>
      </c>
      <c r="BG127" s="26">
        <f t="shared" si="149"/>
        <v>0</v>
      </c>
      <c r="BH127" s="26">
        <f t="shared" si="150"/>
        <v>0</v>
      </c>
      <c r="BI127" s="26">
        <f t="shared" si="151"/>
        <v>0</v>
      </c>
    </row>
    <row r="128" spans="1:61" ht="12.75">
      <c r="A128" s="24" t="s">
        <v>118</v>
      </c>
      <c r="B128" s="25"/>
      <c r="C128" s="25" t="s">
        <v>365</v>
      </c>
      <c r="D128" s="25" t="s">
        <v>613</v>
      </c>
      <c r="E128" s="25" t="s">
        <v>752</v>
      </c>
      <c r="F128" s="47">
        <f>F127</f>
        <v>0</v>
      </c>
      <c r="G128" s="26">
        <f>'Smluvní ceník'!G128</f>
        <v>0</v>
      </c>
      <c r="H128" s="26">
        <f t="shared" si="126"/>
        <v>0</v>
      </c>
      <c r="I128" s="26">
        <f t="shared" si="127"/>
        <v>0</v>
      </c>
      <c r="J128" s="26">
        <f t="shared" si="128"/>
        <v>0</v>
      </c>
      <c r="K128" s="26">
        <v>0</v>
      </c>
      <c r="L128" s="26">
        <f t="shared" si="129"/>
        <v>0</v>
      </c>
      <c r="Y128" s="27">
        <f t="shared" si="130"/>
        <v>0</v>
      </c>
      <c r="AA128" s="27">
        <f t="shared" si="131"/>
        <v>0</v>
      </c>
      <c r="AB128" s="27">
        <f t="shared" si="132"/>
        <v>0</v>
      </c>
      <c r="AC128" s="27">
        <f t="shared" si="133"/>
        <v>0</v>
      </c>
      <c r="AD128" s="27">
        <f t="shared" si="134"/>
        <v>0</v>
      </c>
      <c r="AE128" s="27">
        <f t="shared" si="135"/>
        <v>0</v>
      </c>
      <c r="AF128" s="27">
        <f t="shared" si="136"/>
        <v>0</v>
      </c>
      <c r="AG128" s="27">
        <f t="shared" si="137"/>
        <v>0</v>
      </c>
      <c r="AH128" s="17"/>
      <c r="AI128" s="26">
        <f t="shared" si="138"/>
        <v>0</v>
      </c>
      <c r="AJ128" s="26">
        <f t="shared" si="139"/>
        <v>0</v>
      </c>
      <c r="AK128" s="26">
        <f t="shared" si="140"/>
        <v>0</v>
      </c>
      <c r="AM128" s="27">
        <v>21</v>
      </c>
      <c r="AN128" s="27">
        <f t="shared" si="141"/>
        <v>0</v>
      </c>
      <c r="AO128" s="27">
        <f t="shared" si="142"/>
        <v>0</v>
      </c>
      <c r="AP128" s="28" t="s">
        <v>11</v>
      </c>
      <c r="AU128" s="27">
        <f t="shared" si="143"/>
        <v>0</v>
      </c>
      <c r="AV128" s="27">
        <f t="shared" si="144"/>
        <v>0</v>
      </c>
      <c r="AW128" s="27">
        <f t="shared" si="145"/>
        <v>0</v>
      </c>
      <c r="AX128" s="29" t="s">
        <v>785</v>
      </c>
      <c r="AY128" s="29" t="s">
        <v>793</v>
      </c>
      <c r="AZ128" s="17" t="s">
        <v>796</v>
      </c>
      <c r="BB128" s="27">
        <f t="shared" si="146"/>
        <v>0</v>
      </c>
      <c r="BC128" s="27">
        <f t="shared" si="147"/>
        <v>0</v>
      </c>
      <c r="BD128" s="27">
        <v>0</v>
      </c>
      <c r="BE128" s="27">
        <f t="shared" si="148"/>
        <v>0</v>
      </c>
      <c r="BG128" s="26">
        <f t="shared" si="149"/>
        <v>0</v>
      </c>
      <c r="BH128" s="26">
        <f t="shared" si="150"/>
        <v>0</v>
      </c>
      <c r="BI128" s="26">
        <f t="shared" si="151"/>
        <v>0</v>
      </c>
    </row>
    <row r="129" spans="1:61" ht="12.75">
      <c r="A129" s="24" t="s">
        <v>119</v>
      </c>
      <c r="B129" s="25"/>
      <c r="C129" s="25" t="s">
        <v>366</v>
      </c>
      <c r="D129" s="25" t="s">
        <v>614</v>
      </c>
      <c r="E129" s="25" t="s">
        <v>752</v>
      </c>
      <c r="F129" s="47">
        <f>F128</f>
        <v>0</v>
      </c>
      <c r="G129" s="26">
        <f>'Smluvní ceník'!G129</f>
        <v>0</v>
      </c>
      <c r="H129" s="26">
        <f t="shared" si="126"/>
        <v>0</v>
      </c>
      <c r="I129" s="26">
        <f t="shared" si="127"/>
        <v>0</v>
      </c>
      <c r="J129" s="26">
        <f t="shared" si="128"/>
        <v>0</v>
      </c>
      <c r="K129" s="26">
        <v>0</v>
      </c>
      <c r="L129" s="26">
        <f t="shared" si="129"/>
        <v>0</v>
      </c>
      <c r="Y129" s="27">
        <f t="shared" si="130"/>
        <v>0</v>
      </c>
      <c r="AA129" s="27">
        <f t="shared" si="131"/>
        <v>0</v>
      </c>
      <c r="AB129" s="27">
        <f t="shared" si="132"/>
        <v>0</v>
      </c>
      <c r="AC129" s="27">
        <f t="shared" si="133"/>
        <v>0</v>
      </c>
      <c r="AD129" s="27">
        <f t="shared" si="134"/>
        <v>0</v>
      </c>
      <c r="AE129" s="27">
        <f t="shared" si="135"/>
        <v>0</v>
      </c>
      <c r="AF129" s="27">
        <f t="shared" si="136"/>
        <v>0</v>
      </c>
      <c r="AG129" s="27">
        <f t="shared" si="137"/>
        <v>0</v>
      </c>
      <c r="AH129" s="17"/>
      <c r="AI129" s="26">
        <f t="shared" si="138"/>
        <v>0</v>
      </c>
      <c r="AJ129" s="26">
        <f t="shared" si="139"/>
        <v>0</v>
      </c>
      <c r="AK129" s="26">
        <f t="shared" si="140"/>
        <v>0</v>
      </c>
      <c r="AM129" s="27">
        <v>21</v>
      </c>
      <c r="AN129" s="27">
        <f t="shared" si="141"/>
        <v>0</v>
      </c>
      <c r="AO129" s="27">
        <f t="shared" si="142"/>
        <v>0</v>
      </c>
      <c r="AP129" s="28" t="s">
        <v>11</v>
      </c>
      <c r="AU129" s="27">
        <f t="shared" si="143"/>
        <v>0</v>
      </c>
      <c r="AV129" s="27">
        <f t="shared" si="144"/>
        <v>0</v>
      </c>
      <c r="AW129" s="27">
        <f t="shared" si="145"/>
        <v>0</v>
      </c>
      <c r="AX129" s="29" t="s">
        <v>785</v>
      </c>
      <c r="AY129" s="29" t="s">
        <v>793</v>
      </c>
      <c r="AZ129" s="17" t="s">
        <v>796</v>
      </c>
      <c r="BB129" s="27">
        <f t="shared" si="146"/>
        <v>0</v>
      </c>
      <c r="BC129" s="27">
        <f t="shared" si="147"/>
        <v>0</v>
      </c>
      <c r="BD129" s="27">
        <v>0</v>
      </c>
      <c r="BE129" s="27">
        <f t="shared" si="148"/>
        <v>0</v>
      </c>
      <c r="BG129" s="26">
        <f t="shared" si="149"/>
        <v>0</v>
      </c>
      <c r="BH129" s="26">
        <f t="shared" si="150"/>
        <v>0</v>
      </c>
      <c r="BI129" s="26">
        <f t="shared" si="151"/>
        <v>0</v>
      </c>
    </row>
    <row r="130" spans="1:61" ht="12.75">
      <c r="A130" s="24" t="s">
        <v>120</v>
      </c>
      <c r="B130" s="25"/>
      <c r="C130" s="25" t="s">
        <v>367</v>
      </c>
      <c r="D130" s="25" t="s">
        <v>615</v>
      </c>
      <c r="E130" s="25" t="s">
        <v>754</v>
      </c>
      <c r="F130" s="47">
        <v>3</v>
      </c>
      <c r="G130" s="26">
        <f>'Smluvní ceník'!G130</f>
        <v>0</v>
      </c>
      <c r="H130" s="26">
        <f t="shared" si="126"/>
        <v>0</v>
      </c>
      <c r="I130" s="26">
        <f t="shared" si="127"/>
        <v>0</v>
      </c>
      <c r="J130" s="26">
        <f t="shared" si="128"/>
        <v>0</v>
      </c>
      <c r="K130" s="26">
        <v>0</v>
      </c>
      <c r="L130" s="26">
        <f t="shared" si="129"/>
        <v>0</v>
      </c>
      <c r="Y130" s="27">
        <f t="shared" si="130"/>
        <v>0</v>
      </c>
      <c r="AA130" s="27">
        <f t="shared" si="131"/>
        <v>0</v>
      </c>
      <c r="AB130" s="27">
        <f t="shared" si="132"/>
        <v>0</v>
      </c>
      <c r="AC130" s="27">
        <f t="shared" si="133"/>
        <v>0</v>
      </c>
      <c r="AD130" s="27">
        <f t="shared" si="134"/>
        <v>0</v>
      </c>
      <c r="AE130" s="27">
        <f t="shared" si="135"/>
        <v>0</v>
      </c>
      <c r="AF130" s="27">
        <f t="shared" si="136"/>
        <v>0</v>
      </c>
      <c r="AG130" s="27">
        <f t="shared" si="137"/>
        <v>0</v>
      </c>
      <c r="AH130" s="17"/>
      <c r="AI130" s="26">
        <f t="shared" si="138"/>
        <v>0</v>
      </c>
      <c r="AJ130" s="26">
        <f t="shared" si="139"/>
        <v>0</v>
      </c>
      <c r="AK130" s="26">
        <f t="shared" si="140"/>
        <v>0</v>
      </c>
      <c r="AM130" s="27">
        <v>21</v>
      </c>
      <c r="AN130" s="27">
        <f t="shared" si="141"/>
        <v>0</v>
      </c>
      <c r="AO130" s="27">
        <f t="shared" si="142"/>
        <v>0</v>
      </c>
      <c r="AP130" s="28" t="s">
        <v>11</v>
      </c>
      <c r="AU130" s="27">
        <f t="shared" si="143"/>
        <v>0</v>
      </c>
      <c r="AV130" s="27">
        <f t="shared" si="144"/>
        <v>0</v>
      </c>
      <c r="AW130" s="27">
        <f t="shared" si="145"/>
        <v>0</v>
      </c>
      <c r="AX130" s="29" t="s">
        <v>785</v>
      </c>
      <c r="AY130" s="29" t="s">
        <v>793</v>
      </c>
      <c r="AZ130" s="17" t="s">
        <v>796</v>
      </c>
      <c r="BB130" s="27">
        <f t="shared" si="146"/>
        <v>0</v>
      </c>
      <c r="BC130" s="27">
        <f t="shared" si="147"/>
        <v>0</v>
      </c>
      <c r="BD130" s="27">
        <v>0</v>
      </c>
      <c r="BE130" s="27">
        <f t="shared" si="148"/>
        <v>0</v>
      </c>
      <c r="BG130" s="26">
        <f t="shared" si="149"/>
        <v>0</v>
      </c>
      <c r="BH130" s="26">
        <f t="shared" si="150"/>
        <v>0</v>
      </c>
      <c r="BI130" s="26">
        <f t="shared" si="151"/>
        <v>0</v>
      </c>
    </row>
    <row r="131" spans="1:61" ht="12.75" hidden="1">
      <c r="A131" s="24" t="s">
        <v>121</v>
      </c>
      <c r="B131" s="25"/>
      <c r="C131" s="25" t="s">
        <v>368</v>
      </c>
      <c r="D131" s="25" t="s">
        <v>616</v>
      </c>
      <c r="E131" s="25" t="s">
        <v>754</v>
      </c>
      <c r="F131" s="47">
        <v>0</v>
      </c>
      <c r="G131" s="26">
        <f>'Smluvní ceník'!G131</f>
        <v>0</v>
      </c>
      <c r="H131" s="26">
        <f t="shared" si="126"/>
        <v>0</v>
      </c>
      <c r="I131" s="26">
        <f t="shared" si="127"/>
        <v>0</v>
      </c>
      <c r="J131" s="26">
        <f t="shared" si="128"/>
        <v>0</v>
      </c>
      <c r="K131" s="26">
        <v>0</v>
      </c>
      <c r="L131" s="26">
        <f t="shared" si="129"/>
        <v>0</v>
      </c>
      <c r="Y131" s="27">
        <f t="shared" si="130"/>
        <v>0</v>
      </c>
      <c r="AA131" s="27">
        <f t="shared" si="131"/>
        <v>0</v>
      </c>
      <c r="AB131" s="27">
        <f t="shared" si="132"/>
        <v>0</v>
      </c>
      <c r="AC131" s="27">
        <f t="shared" si="133"/>
        <v>0</v>
      </c>
      <c r="AD131" s="27">
        <f t="shared" si="134"/>
        <v>0</v>
      </c>
      <c r="AE131" s="27">
        <f t="shared" si="135"/>
        <v>0</v>
      </c>
      <c r="AF131" s="27">
        <f t="shared" si="136"/>
        <v>0</v>
      </c>
      <c r="AG131" s="27">
        <f t="shared" si="137"/>
        <v>0</v>
      </c>
      <c r="AH131" s="17"/>
      <c r="AI131" s="26">
        <f t="shared" si="138"/>
        <v>0</v>
      </c>
      <c r="AJ131" s="26">
        <f t="shared" si="139"/>
        <v>0</v>
      </c>
      <c r="AK131" s="26">
        <f t="shared" si="140"/>
        <v>0</v>
      </c>
      <c r="AM131" s="27">
        <v>21</v>
      </c>
      <c r="AN131" s="27">
        <f t="shared" si="141"/>
        <v>0</v>
      </c>
      <c r="AO131" s="27">
        <f t="shared" si="142"/>
        <v>0</v>
      </c>
      <c r="AP131" s="28" t="s">
        <v>11</v>
      </c>
      <c r="AU131" s="27">
        <f t="shared" si="143"/>
        <v>0</v>
      </c>
      <c r="AV131" s="27">
        <f t="shared" si="144"/>
        <v>0</v>
      </c>
      <c r="AW131" s="27">
        <f t="shared" si="145"/>
        <v>0</v>
      </c>
      <c r="AX131" s="29" t="s">
        <v>785</v>
      </c>
      <c r="AY131" s="29" t="s">
        <v>793</v>
      </c>
      <c r="AZ131" s="17" t="s">
        <v>796</v>
      </c>
      <c r="BB131" s="27">
        <f t="shared" si="146"/>
        <v>0</v>
      </c>
      <c r="BC131" s="27">
        <f t="shared" si="147"/>
        <v>0</v>
      </c>
      <c r="BD131" s="27">
        <v>0</v>
      </c>
      <c r="BE131" s="27">
        <f t="shared" si="148"/>
        <v>0</v>
      </c>
      <c r="BG131" s="26">
        <f t="shared" si="149"/>
        <v>0</v>
      </c>
      <c r="BH131" s="26">
        <f t="shared" si="150"/>
        <v>0</v>
      </c>
      <c r="BI131" s="26">
        <f t="shared" si="151"/>
        <v>0</v>
      </c>
    </row>
    <row r="132" spans="1:61" ht="12.75">
      <c r="A132" s="24" t="s">
        <v>122</v>
      </c>
      <c r="B132" s="25"/>
      <c r="C132" s="25" t="s">
        <v>369</v>
      </c>
      <c r="D132" s="25" t="s">
        <v>617</v>
      </c>
      <c r="E132" s="25" t="s">
        <v>754</v>
      </c>
      <c r="F132" s="47">
        <v>3</v>
      </c>
      <c r="G132" s="26">
        <f>'Smluvní ceník'!G132</f>
        <v>0</v>
      </c>
      <c r="H132" s="26">
        <f t="shared" si="126"/>
        <v>0</v>
      </c>
      <c r="I132" s="26">
        <f t="shared" si="127"/>
        <v>0</v>
      </c>
      <c r="J132" s="26">
        <f t="shared" si="128"/>
        <v>0</v>
      </c>
      <c r="K132" s="26">
        <v>0</v>
      </c>
      <c r="L132" s="26">
        <f t="shared" si="129"/>
        <v>0</v>
      </c>
      <c r="Y132" s="27">
        <f t="shared" si="130"/>
        <v>0</v>
      </c>
      <c r="AA132" s="27">
        <f t="shared" si="131"/>
        <v>0</v>
      </c>
      <c r="AB132" s="27">
        <f t="shared" si="132"/>
        <v>0</v>
      </c>
      <c r="AC132" s="27">
        <f t="shared" si="133"/>
        <v>0</v>
      </c>
      <c r="AD132" s="27">
        <f t="shared" si="134"/>
        <v>0</v>
      </c>
      <c r="AE132" s="27">
        <f t="shared" si="135"/>
        <v>0</v>
      </c>
      <c r="AF132" s="27">
        <f t="shared" si="136"/>
        <v>0</v>
      </c>
      <c r="AG132" s="27">
        <f t="shared" si="137"/>
        <v>0</v>
      </c>
      <c r="AH132" s="17"/>
      <c r="AI132" s="26">
        <f t="shared" si="138"/>
        <v>0</v>
      </c>
      <c r="AJ132" s="26">
        <f t="shared" si="139"/>
        <v>0</v>
      </c>
      <c r="AK132" s="26">
        <f t="shared" si="140"/>
        <v>0</v>
      </c>
      <c r="AM132" s="27">
        <v>21</v>
      </c>
      <c r="AN132" s="27">
        <f t="shared" si="141"/>
        <v>0</v>
      </c>
      <c r="AO132" s="27">
        <f t="shared" si="142"/>
        <v>0</v>
      </c>
      <c r="AP132" s="28" t="s">
        <v>11</v>
      </c>
      <c r="AU132" s="27">
        <f t="shared" si="143"/>
        <v>0</v>
      </c>
      <c r="AV132" s="27">
        <f t="shared" si="144"/>
        <v>0</v>
      </c>
      <c r="AW132" s="27">
        <f t="shared" si="145"/>
        <v>0</v>
      </c>
      <c r="AX132" s="29" t="s">
        <v>785</v>
      </c>
      <c r="AY132" s="29" t="s">
        <v>793</v>
      </c>
      <c r="AZ132" s="17" t="s">
        <v>796</v>
      </c>
      <c r="BB132" s="27">
        <f t="shared" si="146"/>
        <v>0</v>
      </c>
      <c r="BC132" s="27">
        <f t="shared" si="147"/>
        <v>0</v>
      </c>
      <c r="BD132" s="27">
        <v>0</v>
      </c>
      <c r="BE132" s="27">
        <f t="shared" si="148"/>
        <v>0</v>
      </c>
      <c r="BG132" s="26">
        <f t="shared" si="149"/>
        <v>0</v>
      </c>
      <c r="BH132" s="26">
        <f t="shared" si="150"/>
        <v>0</v>
      </c>
      <c r="BI132" s="26">
        <f t="shared" si="151"/>
        <v>0</v>
      </c>
    </row>
    <row r="133" spans="1:61" ht="12.75" hidden="1">
      <c r="A133" s="24" t="s">
        <v>123</v>
      </c>
      <c r="B133" s="25"/>
      <c r="C133" s="25" t="s">
        <v>370</v>
      </c>
      <c r="D133" s="25" t="s">
        <v>618</v>
      </c>
      <c r="E133" s="25" t="s">
        <v>754</v>
      </c>
      <c r="F133" s="47">
        <v>0</v>
      </c>
      <c r="G133" s="26">
        <f>'Smluvní ceník'!G133</f>
        <v>0</v>
      </c>
      <c r="H133" s="26">
        <f t="shared" si="126"/>
        <v>0</v>
      </c>
      <c r="I133" s="26">
        <f t="shared" si="127"/>
        <v>0</v>
      </c>
      <c r="J133" s="26">
        <f t="shared" si="128"/>
        <v>0</v>
      </c>
      <c r="K133" s="26">
        <v>0</v>
      </c>
      <c r="L133" s="26">
        <f t="shared" si="129"/>
        <v>0</v>
      </c>
      <c r="Y133" s="27">
        <f t="shared" si="130"/>
        <v>0</v>
      </c>
      <c r="AA133" s="27">
        <f t="shared" si="131"/>
        <v>0</v>
      </c>
      <c r="AB133" s="27">
        <f t="shared" si="132"/>
        <v>0</v>
      </c>
      <c r="AC133" s="27">
        <f t="shared" si="133"/>
        <v>0</v>
      </c>
      <c r="AD133" s="27">
        <f t="shared" si="134"/>
        <v>0</v>
      </c>
      <c r="AE133" s="27">
        <f t="shared" si="135"/>
        <v>0</v>
      </c>
      <c r="AF133" s="27">
        <f t="shared" si="136"/>
        <v>0</v>
      </c>
      <c r="AG133" s="27">
        <f t="shared" si="137"/>
        <v>0</v>
      </c>
      <c r="AH133" s="17"/>
      <c r="AI133" s="26">
        <f t="shared" si="138"/>
        <v>0</v>
      </c>
      <c r="AJ133" s="26">
        <f t="shared" si="139"/>
        <v>0</v>
      </c>
      <c r="AK133" s="26">
        <f t="shared" si="140"/>
        <v>0</v>
      </c>
      <c r="AM133" s="27">
        <v>21</v>
      </c>
      <c r="AN133" s="27">
        <f t="shared" si="141"/>
        <v>0</v>
      </c>
      <c r="AO133" s="27">
        <f t="shared" si="142"/>
        <v>0</v>
      </c>
      <c r="AP133" s="28" t="s">
        <v>11</v>
      </c>
      <c r="AU133" s="27">
        <f t="shared" si="143"/>
        <v>0</v>
      </c>
      <c r="AV133" s="27">
        <f t="shared" si="144"/>
        <v>0</v>
      </c>
      <c r="AW133" s="27">
        <f t="shared" si="145"/>
        <v>0</v>
      </c>
      <c r="AX133" s="29" t="s">
        <v>785</v>
      </c>
      <c r="AY133" s="29" t="s">
        <v>793</v>
      </c>
      <c r="AZ133" s="17" t="s">
        <v>796</v>
      </c>
      <c r="BB133" s="27">
        <f t="shared" si="146"/>
        <v>0</v>
      </c>
      <c r="BC133" s="27">
        <f t="shared" si="147"/>
        <v>0</v>
      </c>
      <c r="BD133" s="27">
        <v>0</v>
      </c>
      <c r="BE133" s="27">
        <f t="shared" si="148"/>
        <v>0</v>
      </c>
      <c r="BG133" s="26">
        <f t="shared" si="149"/>
        <v>0</v>
      </c>
      <c r="BH133" s="26">
        <f t="shared" si="150"/>
        <v>0</v>
      </c>
      <c r="BI133" s="26">
        <f t="shared" si="151"/>
        <v>0</v>
      </c>
    </row>
    <row r="134" spans="1:61" ht="12.75">
      <c r="A134" s="24" t="s">
        <v>124</v>
      </c>
      <c r="B134" s="25"/>
      <c r="C134" s="25" t="s">
        <v>371</v>
      </c>
      <c r="D134" s="25" t="s">
        <v>619</v>
      </c>
      <c r="E134" s="25" t="s">
        <v>754</v>
      </c>
      <c r="F134" s="47">
        <v>6</v>
      </c>
      <c r="G134" s="26">
        <f>'Smluvní ceník'!G134</f>
        <v>0</v>
      </c>
      <c r="H134" s="26">
        <f t="shared" si="126"/>
        <v>0</v>
      </c>
      <c r="I134" s="26">
        <f t="shared" si="127"/>
        <v>0</v>
      </c>
      <c r="J134" s="26">
        <f t="shared" si="128"/>
        <v>0</v>
      </c>
      <c r="K134" s="26">
        <v>0</v>
      </c>
      <c r="L134" s="26">
        <f t="shared" si="129"/>
        <v>0</v>
      </c>
      <c r="Y134" s="27">
        <f t="shared" si="130"/>
        <v>0</v>
      </c>
      <c r="AA134" s="27">
        <f t="shared" si="131"/>
        <v>0</v>
      </c>
      <c r="AB134" s="27">
        <f t="shared" si="132"/>
        <v>0</v>
      </c>
      <c r="AC134" s="27">
        <f t="shared" si="133"/>
        <v>0</v>
      </c>
      <c r="AD134" s="27">
        <f t="shared" si="134"/>
        <v>0</v>
      </c>
      <c r="AE134" s="27">
        <f t="shared" si="135"/>
        <v>0</v>
      </c>
      <c r="AF134" s="27">
        <f t="shared" si="136"/>
        <v>0</v>
      </c>
      <c r="AG134" s="27">
        <f t="shared" si="137"/>
        <v>0</v>
      </c>
      <c r="AH134" s="17"/>
      <c r="AI134" s="26">
        <f t="shared" si="138"/>
        <v>0</v>
      </c>
      <c r="AJ134" s="26">
        <f t="shared" si="139"/>
        <v>0</v>
      </c>
      <c r="AK134" s="26">
        <f t="shared" si="140"/>
        <v>0</v>
      </c>
      <c r="AM134" s="27">
        <v>21</v>
      </c>
      <c r="AN134" s="27">
        <f t="shared" si="141"/>
        <v>0</v>
      </c>
      <c r="AO134" s="27">
        <f t="shared" si="142"/>
        <v>0</v>
      </c>
      <c r="AP134" s="28" t="s">
        <v>11</v>
      </c>
      <c r="AU134" s="27">
        <f t="shared" si="143"/>
        <v>0</v>
      </c>
      <c r="AV134" s="27">
        <f t="shared" si="144"/>
        <v>0</v>
      </c>
      <c r="AW134" s="27">
        <f t="shared" si="145"/>
        <v>0</v>
      </c>
      <c r="AX134" s="29" t="s">
        <v>785</v>
      </c>
      <c r="AY134" s="29" t="s">
        <v>793</v>
      </c>
      <c r="AZ134" s="17" t="s">
        <v>796</v>
      </c>
      <c r="BB134" s="27">
        <f t="shared" si="146"/>
        <v>0</v>
      </c>
      <c r="BC134" s="27">
        <f t="shared" si="147"/>
        <v>0</v>
      </c>
      <c r="BD134" s="27">
        <v>0</v>
      </c>
      <c r="BE134" s="27">
        <f t="shared" si="148"/>
        <v>0</v>
      </c>
      <c r="BG134" s="26">
        <f t="shared" si="149"/>
        <v>0</v>
      </c>
      <c r="BH134" s="26">
        <f t="shared" si="150"/>
        <v>0</v>
      </c>
      <c r="BI134" s="26">
        <f t="shared" si="151"/>
        <v>0</v>
      </c>
    </row>
    <row r="135" spans="1:61" ht="12.75" hidden="1">
      <c r="A135" s="24" t="s">
        <v>125</v>
      </c>
      <c r="B135" s="25"/>
      <c r="C135" s="25" t="s">
        <v>372</v>
      </c>
      <c r="D135" s="25" t="s">
        <v>620</v>
      </c>
      <c r="E135" s="25" t="s">
        <v>754</v>
      </c>
      <c r="F135" s="26">
        <v>0</v>
      </c>
      <c r="G135" s="26">
        <f>'Smluvní ceník'!G135</f>
        <v>0</v>
      </c>
      <c r="H135" s="26">
        <f t="shared" si="126"/>
        <v>0</v>
      </c>
      <c r="I135" s="26">
        <f t="shared" si="127"/>
        <v>0</v>
      </c>
      <c r="J135" s="26">
        <f t="shared" si="128"/>
        <v>0</v>
      </c>
      <c r="K135" s="26">
        <v>0</v>
      </c>
      <c r="L135" s="26">
        <f t="shared" si="129"/>
        <v>0</v>
      </c>
      <c r="Y135" s="27">
        <f t="shared" si="130"/>
        <v>0</v>
      </c>
      <c r="AA135" s="27">
        <f t="shared" si="131"/>
        <v>0</v>
      </c>
      <c r="AB135" s="27">
        <f t="shared" si="132"/>
        <v>0</v>
      </c>
      <c r="AC135" s="27">
        <f t="shared" si="133"/>
        <v>0</v>
      </c>
      <c r="AD135" s="27">
        <f t="shared" si="134"/>
        <v>0</v>
      </c>
      <c r="AE135" s="27">
        <f t="shared" si="135"/>
        <v>0</v>
      </c>
      <c r="AF135" s="27">
        <f t="shared" si="136"/>
        <v>0</v>
      </c>
      <c r="AG135" s="27">
        <f t="shared" si="137"/>
        <v>0</v>
      </c>
      <c r="AH135" s="17"/>
      <c r="AI135" s="26">
        <f t="shared" si="138"/>
        <v>0</v>
      </c>
      <c r="AJ135" s="26">
        <f t="shared" si="139"/>
        <v>0</v>
      </c>
      <c r="AK135" s="26">
        <f t="shared" si="140"/>
        <v>0</v>
      </c>
      <c r="AM135" s="27">
        <v>21</v>
      </c>
      <c r="AN135" s="27">
        <f t="shared" si="141"/>
        <v>0</v>
      </c>
      <c r="AO135" s="27">
        <f t="shared" si="142"/>
        <v>0</v>
      </c>
      <c r="AP135" s="28" t="s">
        <v>11</v>
      </c>
      <c r="AU135" s="27">
        <f t="shared" si="143"/>
        <v>0</v>
      </c>
      <c r="AV135" s="27">
        <f t="shared" si="144"/>
        <v>0</v>
      </c>
      <c r="AW135" s="27">
        <f t="shared" si="145"/>
        <v>0</v>
      </c>
      <c r="AX135" s="29" t="s">
        <v>785</v>
      </c>
      <c r="AY135" s="29" t="s">
        <v>793</v>
      </c>
      <c r="AZ135" s="17" t="s">
        <v>796</v>
      </c>
      <c r="BB135" s="27">
        <f t="shared" si="146"/>
        <v>0</v>
      </c>
      <c r="BC135" s="27">
        <f t="shared" si="147"/>
        <v>0</v>
      </c>
      <c r="BD135" s="27">
        <v>0</v>
      </c>
      <c r="BE135" s="27">
        <f t="shared" si="148"/>
        <v>0</v>
      </c>
      <c r="BG135" s="26">
        <f t="shared" si="149"/>
        <v>0</v>
      </c>
      <c r="BH135" s="26">
        <f t="shared" si="150"/>
        <v>0</v>
      </c>
      <c r="BI135" s="26">
        <f t="shared" si="151"/>
        <v>0</v>
      </c>
    </row>
    <row r="136" spans="1:61" ht="12.75" hidden="1">
      <c r="A136" s="24" t="s">
        <v>126</v>
      </c>
      <c r="B136" s="25"/>
      <c r="C136" s="25" t="s">
        <v>373</v>
      </c>
      <c r="D136" s="25" t="s">
        <v>621</v>
      </c>
      <c r="E136" s="25" t="s">
        <v>754</v>
      </c>
      <c r="F136" s="26">
        <v>0</v>
      </c>
      <c r="G136" s="26">
        <f>'Smluvní ceník'!G136</f>
        <v>0</v>
      </c>
      <c r="H136" s="26">
        <f t="shared" si="126"/>
        <v>0</v>
      </c>
      <c r="I136" s="26">
        <f t="shared" si="127"/>
        <v>0</v>
      </c>
      <c r="J136" s="26">
        <f t="shared" si="128"/>
        <v>0</v>
      </c>
      <c r="K136" s="26">
        <v>0</v>
      </c>
      <c r="L136" s="26">
        <f t="shared" si="129"/>
        <v>0</v>
      </c>
      <c r="Y136" s="27">
        <f t="shared" si="130"/>
        <v>0</v>
      </c>
      <c r="AA136" s="27">
        <f t="shared" si="131"/>
        <v>0</v>
      </c>
      <c r="AB136" s="27">
        <f t="shared" si="132"/>
        <v>0</v>
      </c>
      <c r="AC136" s="27">
        <f t="shared" si="133"/>
        <v>0</v>
      </c>
      <c r="AD136" s="27">
        <f t="shared" si="134"/>
        <v>0</v>
      </c>
      <c r="AE136" s="27">
        <f t="shared" si="135"/>
        <v>0</v>
      </c>
      <c r="AF136" s="27">
        <f t="shared" si="136"/>
        <v>0</v>
      </c>
      <c r="AG136" s="27">
        <f t="shared" si="137"/>
        <v>0</v>
      </c>
      <c r="AH136" s="17"/>
      <c r="AI136" s="26">
        <f t="shared" si="138"/>
        <v>0</v>
      </c>
      <c r="AJ136" s="26">
        <f t="shared" si="139"/>
        <v>0</v>
      </c>
      <c r="AK136" s="26">
        <f t="shared" si="140"/>
        <v>0</v>
      </c>
      <c r="AM136" s="27">
        <v>21</v>
      </c>
      <c r="AN136" s="27">
        <f t="shared" si="141"/>
        <v>0</v>
      </c>
      <c r="AO136" s="27">
        <f t="shared" si="142"/>
        <v>0</v>
      </c>
      <c r="AP136" s="28" t="s">
        <v>11</v>
      </c>
      <c r="AU136" s="27">
        <f t="shared" si="143"/>
        <v>0</v>
      </c>
      <c r="AV136" s="27">
        <f t="shared" si="144"/>
        <v>0</v>
      </c>
      <c r="AW136" s="27">
        <f t="shared" si="145"/>
        <v>0</v>
      </c>
      <c r="AX136" s="29" t="s">
        <v>785</v>
      </c>
      <c r="AY136" s="29" t="s">
        <v>793</v>
      </c>
      <c r="AZ136" s="17" t="s">
        <v>796</v>
      </c>
      <c r="BB136" s="27">
        <f t="shared" si="146"/>
        <v>0</v>
      </c>
      <c r="BC136" s="27">
        <f t="shared" si="147"/>
        <v>0</v>
      </c>
      <c r="BD136" s="27">
        <v>0</v>
      </c>
      <c r="BE136" s="27">
        <f t="shared" si="148"/>
        <v>0</v>
      </c>
      <c r="BG136" s="26">
        <f t="shared" si="149"/>
        <v>0</v>
      </c>
      <c r="BH136" s="26">
        <f t="shared" si="150"/>
        <v>0</v>
      </c>
      <c r="BI136" s="26">
        <f t="shared" si="151"/>
        <v>0</v>
      </c>
    </row>
    <row r="137" spans="1:61" ht="12.75" hidden="1">
      <c r="A137" s="24" t="s">
        <v>127</v>
      </c>
      <c r="B137" s="25"/>
      <c r="C137" s="25" t="s">
        <v>374</v>
      </c>
      <c r="D137" s="25" t="s">
        <v>614</v>
      </c>
      <c r="E137" s="25" t="s">
        <v>754</v>
      </c>
      <c r="F137" s="26">
        <v>0</v>
      </c>
      <c r="G137" s="26">
        <f>'Smluvní ceník'!G137</f>
        <v>0</v>
      </c>
      <c r="H137" s="26">
        <f t="shared" si="126"/>
        <v>0</v>
      </c>
      <c r="I137" s="26">
        <f t="shared" si="127"/>
        <v>0</v>
      </c>
      <c r="J137" s="26">
        <f t="shared" si="128"/>
        <v>0</v>
      </c>
      <c r="K137" s="26">
        <v>0</v>
      </c>
      <c r="L137" s="26">
        <f t="shared" si="129"/>
        <v>0</v>
      </c>
      <c r="Y137" s="27">
        <f t="shared" si="130"/>
        <v>0</v>
      </c>
      <c r="AA137" s="27">
        <f t="shared" si="131"/>
        <v>0</v>
      </c>
      <c r="AB137" s="27">
        <f t="shared" si="132"/>
        <v>0</v>
      </c>
      <c r="AC137" s="27">
        <f t="shared" si="133"/>
        <v>0</v>
      </c>
      <c r="AD137" s="27">
        <f t="shared" si="134"/>
        <v>0</v>
      </c>
      <c r="AE137" s="27">
        <f t="shared" si="135"/>
        <v>0</v>
      </c>
      <c r="AF137" s="27">
        <f t="shared" si="136"/>
        <v>0</v>
      </c>
      <c r="AG137" s="27">
        <f t="shared" si="137"/>
        <v>0</v>
      </c>
      <c r="AH137" s="17"/>
      <c r="AI137" s="26">
        <f t="shared" si="138"/>
        <v>0</v>
      </c>
      <c r="AJ137" s="26">
        <f t="shared" si="139"/>
        <v>0</v>
      </c>
      <c r="AK137" s="26">
        <f t="shared" si="140"/>
        <v>0</v>
      </c>
      <c r="AM137" s="27">
        <v>21</v>
      </c>
      <c r="AN137" s="27">
        <f t="shared" si="141"/>
        <v>0</v>
      </c>
      <c r="AO137" s="27">
        <f t="shared" si="142"/>
        <v>0</v>
      </c>
      <c r="AP137" s="28" t="s">
        <v>11</v>
      </c>
      <c r="AU137" s="27">
        <f t="shared" si="143"/>
        <v>0</v>
      </c>
      <c r="AV137" s="27">
        <f t="shared" si="144"/>
        <v>0</v>
      </c>
      <c r="AW137" s="27">
        <f t="shared" si="145"/>
        <v>0</v>
      </c>
      <c r="AX137" s="29" t="s">
        <v>785</v>
      </c>
      <c r="AY137" s="29" t="s">
        <v>793</v>
      </c>
      <c r="AZ137" s="17" t="s">
        <v>796</v>
      </c>
      <c r="BB137" s="27">
        <f t="shared" si="146"/>
        <v>0</v>
      </c>
      <c r="BC137" s="27">
        <f t="shared" si="147"/>
        <v>0</v>
      </c>
      <c r="BD137" s="27">
        <v>0</v>
      </c>
      <c r="BE137" s="27">
        <f t="shared" si="148"/>
        <v>0</v>
      </c>
      <c r="BG137" s="26">
        <f t="shared" si="149"/>
        <v>0</v>
      </c>
      <c r="BH137" s="26">
        <f t="shared" si="150"/>
        <v>0</v>
      </c>
      <c r="BI137" s="26">
        <f t="shared" si="151"/>
        <v>0</v>
      </c>
    </row>
    <row r="138" spans="1:46" ht="12.75">
      <c r="A138" s="30"/>
      <c r="B138" s="31"/>
      <c r="C138" s="31" t="s">
        <v>375</v>
      </c>
      <c r="D138" s="31" t="s">
        <v>622</v>
      </c>
      <c r="E138" s="32" t="s">
        <v>6</v>
      </c>
      <c r="F138" s="32" t="s">
        <v>6</v>
      </c>
      <c r="G138" s="32" t="str">
        <f>'Smluvní ceník'!G138</f>
        <v> </v>
      </c>
      <c r="H138" s="23">
        <f>SUM(H139:H173)</f>
        <v>0</v>
      </c>
      <c r="I138" s="23">
        <f>SUM(I139:I173)</f>
        <v>0</v>
      </c>
      <c r="J138" s="23">
        <f>SUM(J139:J173)</f>
        <v>0</v>
      </c>
      <c r="K138" s="17"/>
      <c r="L138" s="23">
        <f>SUM(L139:L173)</f>
        <v>0.12079999999999999</v>
      </c>
      <c r="AH138" s="17"/>
      <c r="AR138" s="23">
        <f>SUM(AI139:AI173)</f>
        <v>0</v>
      </c>
      <c r="AS138" s="23">
        <f>SUM(AJ139:AJ173)</f>
        <v>0</v>
      </c>
      <c r="AT138" s="23">
        <f>SUM(AK139:AK173)</f>
        <v>0</v>
      </c>
    </row>
    <row r="139" spans="1:61" ht="12.75">
      <c r="A139" s="24" t="s">
        <v>128</v>
      </c>
      <c r="B139" s="25"/>
      <c r="C139" s="25" t="s">
        <v>376</v>
      </c>
      <c r="D139" s="25" t="s">
        <v>623</v>
      </c>
      <c r="E139" s="25" t="s">
        <v>753</v>
      </c>
      <c r="F139" s="47">
        <v>100</v>
      </c>
      <c r="G139" s="26">
        <f>'Smluvní ceník'!G139</f>
        <v>0</v>
      </c>
      <c r="H139" s="26">
        <f>F139*AN139</f>
        <v>0</v>
      </c>
      <c r="I139" s="26">
        <f>F139*AO139</f>
        <v>0</v>
      </c>
      <c r="J139" s="26">
        <f>F139*G139</f>
        <v>0</v>
      </c>
      <c r="K139" s="26">
        <v>0.001</v>
      </c>
      <c r="L139" s="26">
        <f>F139*K139</f>
        <v>0.1</v>
      </c>
      <c r="Y139" s="27">
        <f>IF(AP139="5",BI139,0)</f>
        <v>0</v>
      </c>
      <c r="AA139" s="27">
        <f>IF(AP139="1",BG139,0)</f>
        <v>0</v>
      </c>
      <c r="AB139" s="27">
        <f>IF(AP139="1",BH139,0)</f>
        <v>0</v>
      </c>
      <c r="AC139" s="27">
        <f>IF(AP139="7",BG139,0)</f>
        <v>0</v>
      </c>
      <c r="AD139" s="27">
        <f>IF(AP139="7",BH139,0)</f>
        <v>0</v>
      </c>
      <c r="AE139" s="27">
        <f>IF(AP139="2",BG139,0)</f>
        <v>0</v>
      </c>
      <c r="AF139" s="27">
        <f>IF(AP139="2",BH139,0)</f>
        <v>0</v>
      </c>
      <c r="AG139" s="27">
        <f>IF(AP139="0",BI139,0)</f>
        <v>0</v>
      </c>
      <c r="AH139" s="17"/>
      <c r="AI139" s="26">
        <f>IF(AM139=0,J139,0)</f>
        <v>0</v>
      </c>
      <c r="AJ139" s="26">
        <f>IF(AM139=15,J139,0)</f>
        <v>0</v>
      </c>
      <c r="AK139" s="26">
        <f>IF(AM139=21,J139,0)</f>
        <v>0</v>
      </c>
      <c r="AM139" s="27">
        <v>21</v>
      </c>
      <c r="AN139" s="27">
        <f>G139*0</f>
        <v>0</v>
      </c>
      <c r="AO139" s="27">
        <f>G139*(1-0)</f>
        <v>0</v>
      </c>
      <c r="AP139" s="28" t="s">
        <v>13</v>
      </c>
      <c r="AU139" s="27">
        <f>AV139+AW139</f>
        <v>0</v>
      </c>
      <c r="AV139" s="27">
        <f>F139*AN139</f>
        <v>0</v>
      </c>
      <c r="AW139" s="27">
        <f>F139*AO139</f>
        <v>0</v>
      </c>
      <c r="AX139" s="29" t="s">
        <v>786</v>
      </c>
      <c r="AY139" s="29" t="s">
        <v>793</v>
      </c>
      <c r="AZ139" s="17" t="s">
        <v>796</v>
      </c>
      <c r="BB139" s="27">
        <f>AV139+AW139</f>
        <v>0</v>
      </c>
      <c r="BC139" s="27">
        <f>G139/(100-BD139)*100</f>
        <v>0</v>
      </c>
      <c r="BD139" s="27">
        <v>0</v>
      </c>
      <c r="BE139" s="27">
        <f>L139</f>
        <v>0.1</v>
      </c>
      <c r="BG139" s="26">
        <f>F139*AN139</f>
        <v>0</v>
      </c>
      <c r="BH139" s="26">
        <f>F139*AO139</f>
        <v>0</v>
      </c>
      <c r="BI139" s="26">
        <f>F139*G139</f>
        <v>0</v>
      </c>
    </row>
    <row r="140" spans="1:61" ht="12.75">
      <c r="A140" s="24" t="s">
        <v>129</v>
      </c>
      <c r="B140" s="25"/>
      <c r="C140" s="25" t="s">
        <v>377</v>
      </c>
      <c r="D140" s="25" t="s">
        <v>624</v>
      </c>
      <c r="E140" s="25" t="s">
        <v>753</v>
      </c>
      <c r="F140" s="47">
        <v>5</v>
      </c>
      <c r="G140" s="26">
        <f>'Smluvní ceník'!G140</f>
        <v>0</v>
      </c>
      <c r="H140" s="26">
        <f>F140*AN140</f>
        <v>0</v>
      </c>
      <c r="I140" s="26">
        <f>F140*AO140</f>
        <v>0</v>
      </c>
      <c r="J140" s="26">
        <f>F140*G140</f>
        <v>0</v>
      </c>
      <c r="K140" s="26">
        <v>0</v>
      </c>
      <c r="L140" s="26">
        <f>F140*K140</f>
        <v>0</v>
      </c>
      <c r="Y140" s="27">
        <f>IF(AP140="5",BI140,0)</f>
        <v>0</v>
      </c>
      <c r="AA140" s="27">
        <f>IF(AP140="1",BG140,0)</f>
        <v>0</v>
      </c>
      <c r="AB140" s="27">
        <f>IF(AP140="1",BH140,0)</f>
        <v>0</v>
      </c>
      <c r="AC140" s="27">
        <f>IF(AP140="7",BG140,0)</f>
        <v>0</v>
      </c>
      <c r="AD140" s="27">
        <f>IF(AP140="7",BH140,0)</f>
        <v>0</v>
      </c>
      <c r="AE140" s="27">
        <f>IF(AP140="2",BG140,0)</f>
        <v>0</v>
      </c>
      <c r="AF140" s="27">
        <f>IF(AP140="2",BH140,0)</f>
        <v>0</v>
      </c>
      <c r="AG140" s="27">
        <f>IF(AP140="0",BI140,0)</f>
        <v>0</v>
      </c>
      <c r="AH140" s="17"/>
      <c r="AI140" s="26">
        <f>IF(AM140=0,J140,0)</f>
        <v>0</v>
      </c>
      <c r="AJ140" s="26">
        <f>IF(AM140=15,J140,0)</f>
        <v>0</v>
      </c>
      <c r="AK140" s="26">
        <f>IF(AM140=21,J140,0)</f>
        <v>0</v>
      </c>
      <c r="AM140" s="27">
        <v>21</v>
      </c>
      <c r="AN140" s="27">
        <f>G140*0.799993548387097</f>
        <v>0</v>
      </c>
      <c r="AO140" s="27">
        <f>G140*(1-0.799993548387097)</f>
        <v>0</v>
      </c>
      <c r="AP140" s="28" t="s">
        <v>13</v>
      </c>
      <c r="AU140" s="27">
        <f>AV140+AW140</f>
        <v>0</v>
      </c>
      <c r="AV140" s="27">
        <f>F140*AN140</f>
        <v>0</v>
      </c>
      <c r="AW140" s="27">
        <f>F140*AO140</f>
        <v>0</v>
      </c>
      <c r="AX140" s="29" t="s">
        <v>786</v>
      </c>
      <c r="AY140" s="29" t="s">
        <v>793</v>
      </c>
      <c r="AZ140" s="17" t="s">
        <v>796</v>
      </c>
      <c r="BB140" s="27">
        <f>AV140+AW140</f>
        <v>0</v>
      </c>
      <c r="BC140" s="27">
        <f>G140/(100-BD140)*100</f>
        <v>0</v>
      </c>
      <c r="BD140" s="27">
        <v>0</v>
      </c>
      <c r="BE140" s="27">
        <f>L140</f>
        <v>0</v>
      </c>
      <c r="BG140" s="26">
        <f>F140*AN140</f>
        <v>0</v>
      </c>
      <c r="BH140" s="26">
        <f>F140*AO140</f>
        <v>0</v>
      </c>
      <c r="BI140" s="26">
        <f>F140*G140</f>
        <v>0</v>
      </c>
    </row>
    <row r="141" spans="4:7" ht="12">
      <c r="D141" s="39" t="s">
        <v>625</v>
      </c>
      <c r="F141" s="49"/>
      <c r="G141" s="26"/>
    </row>
    <row r="142" spans="1:61" ht="12.75">
      <c r="A142" s="24" t="s">
        <v>130</v>
      </c>
      <c r="B142" s="25"/>
      <c r="C142" s="25" t="s">
        <v>378</v>
      </c>
      <c r="D142" s="25" t="s">
        <v>624</v>
      </c>
      <c r="E142" s="25" t="s">
        <v>753</v>
      </c>
      <c r="F142" s="47">
        <v>5</v>
      </c>
      <c r="G142" s="26">
        <f>'Smluvní ceník'!G142</f>
        <v>0</v>
      </c>
      <c r="H142" s="26">
        <f>F142*AN142</f>
        <v>0</v>
      </c>
      <c r="I142" s="26">
        <f>F142*AO142</f>
        <v>0</v>
      </c>
      <c r="J142" s="26">
        <f>F142*G142</f>
        <v>0</v>
      </c>
      <c r="K142" s="26">
        <v>0</v>
      </c>
      <c r="L142" s="26">
        <f>F142*K142</f>
        <v>0</v>
      </c>
      <c r="Y142" s="27">
        <f>IF(AP142="5",BI142,0)</f>
        <v>0</v>
      </c>
      <c r="AA142" s="27">
        <f>IF(AP142="1",BG142,0)</f>
        <v>0</v>
      </c>
      <c r="AB142" s="27">
        <f>IF(AP142="1",BH142,0)</f>
        <v>0</v>
      </c>
      <c r="AC142" s="27">
        <f>IF(AP142="7",BG142,0)</f>
        <v>0</v>
      </c>
      <c r="AD142" s="27">
        <f>IF(AP142="7",BH142,0)</f>
        <v>0</v>
      </c>
      <c r="AE142" s="27">
        <f>IF(AP142="2",BG142,0)</f>
        <v>0</v>
      </c>
      <c r="AF142" s="27">
        <f>IF(AP142="2",BH142,0)</f>
        <v>0</v>
      </c>
      <c r="AG142" s="27">
        <f>IF(AP142="0",BI142,0)</f>
        <v>0</v>
      </c>
      <c r="AH142" s="17"/>
      <c r="AI142" s="26">
        <f>IF(AM142=0,J142,0)</f>
        <v>0</v>
      </c>
      <c r="AJ142" s="26">
        <f>IF(AM142=15,J142,0)</f>
        <v>0</v>
      </c>
      <c r="AK142" s="26">
        <f>IF(AM142=21,J142,0)</f>
        <v>0</v>
      </c>
      <c r="AM142" s="27">
        <v>21</v>
      </c>
      <c r="AN142" s="27">
        <f>G142*0.799995884773663</f>
        <v>0</v>
      </c>
      <c r="AO142" s="27">
        <f>G142*(1-0.799995884773663)</f>
        <v>0</v>
      </c>
      <c r="AP142" s="28" t="s">
        <v>13</v>
      </c>
      <c r="AU142" s="27">
        <f>AV142+AW142</f>
        <v>0</v>
      </c>
      <c r="AV142" s="27">
        <f>F142*AN142</f>
        <v>0</v>
      </c>
      <c r="AW142" s="27">
        <f>F142*AO142</f>
        <v>0</v>
      </c>
      <c r="AX142" s="29" t="s">
        <v>786</v>
      </c>
      <c r="AY142" s="29" t="s">
        <v>793</v>
      </c>
      <c r="AZ142" s="17" t="s">
        <v>796</v>
      </c>
      <c r="BB142" s="27">
        <f>AV142+AW142</f>
        <v>0</v>
      </c>
      <c r="BC142" s="27">
        <f>G142/(100-BD142)*100</f>
        <v>0</v>
      </c>
      <c r="BD142" s="27">
        <v>0</v>
      </c>
      <c r="BE142" s="27">
        <f>L142</f>
        <v>0</v>
      </c>
      <c r="BG142" s="26">
        <f>F142*AN142</f>
        <v>0</v>
      </c>
      <c r="BH142" s="26">
        <f>F142*AO142</f>
        <v>0</v>
      </c>
      <c r="BI142" s="26">
        <f>F142*G142</f>
        <v>0</v>
      </c>
    </row>
    <row r="143" spans="4:7" ht="12">
      <c r="D143" s="39" t="s">
        <v>626</v>
      </c>
      <c r="F143" s="49"/>
      <c r="G143" s="26"/>
    </row>
    <row r="144" spans="1:61" ht="12.75">
      <c r="A144" s="24" t="s">
        <v>131</v>
      </c>
      <c r="B144" s="25"/>
      <c r="C144" s="25" t="s">
        <v>379</v>
      </c>
      <c r="D144" s="25" t="s">
        <v>624</v>
      </c>
      <c r="E144" s="25" t="s">
        <v>753</v>
      </c>
      <c r="F144" s="47">
        <v>5</v>
      </c>
      <c r="G144" s="26">
        <f>'Smluvní ceník'!G144</f>
        <v>0</v>
      </c>
      <c r="H144" s="26">
        <f>F144*AN144</f>
        <v>0</v>
      </c>
      <c r="I144" s="26">
        <f>F144*AO144</f>
        <v>0</v>
      </c>
      <c r="J144" s="26">
        <f>F144*G144</f>
        <v>0</v>
      </c>
      <c r="K144" s="26">
        <v>0</v>
      </c>
      <c r="L144" s="26">
        <f>F144*K144</f>
        <v>0</v>
      </c>
      <c r="Y144" s="27">
        <f>IF(AP144="5",BI144,0)</f>
        <v>0</v>
      </c>
      <c r="AA144" s="27">
        <f>IF(AP144="1",BG144,0)</f>
        <v>0</v>
      </c>
      <c r="AB144" s="27">
        <f>IF(AP144="1",BH144,0)</f>
        <v>0</v>
      </c>
      <c r="AC144" s="27">
        <f>IF(AP144="7",BG144,0)</f>
        <v>0</v>
      </c>
      <c r="AD144" s="27">
        <f>IF(AP144="7",BH144,0)</f>
        <v>0</v>
      </c>
      <c r="AE144" s="27">
        <f>IF(AP144="2",BG144,0)</f>
        <v>0</v>
      </c>
      <c r="AF144" s="27">
        <f>IF(AP144="2",BH144,0)</f>
        <v>0</v>
      </c>
      <c r="AG144" s="27">
        <f>IF(AP144="0",BI144,0)</f>
        <v>0</v>
      </c>
      <c r="AH144" s="17"/>
      <c r="AI144" s="26">
        <f>IF(AM144=0,J144,0)</f>
        <v>0</v>
      </c>
      <c r="AJ144" s="26">
        <f>IF(AM144=15,J144,0)</f>
        <v>0</v>
      </c>
      <c r="AK144" s="26">
        <f>IF(AM144=21,J144,0)</f>
        <v>0</v>
      </c>
      <c r="AM144" s="27">
        <v>21</v>
      </c>
      <c r="AN144" s="27">
        <f>G144*0.1</f>
        <v>0</v>
      </c>
      <c r="AO144" s="27">
        <f>G144*(1-0.1)</f>
        <v>0</v>
      </c>
      <c r="AP144" s="28" t="s">
        <v>13</v>
      </c>
      <c r="AU144" s="27">
        <f>AV144+AW144</f>
        <v>0</v>
      </c>
      <c r="AV144" s="27">
        <f>F144*AN144</f>
        <v>0</v>
      </c>
      <c r="AW144" s="27">
        <f>F144*AO144</f>
        <v>0</v>
      </c>
      <c r="AX144" s="29" t="s">
        <v>786</v>
      </c>
      <c r="AY144" s="29" t="s">
        <v>793</v>
      </c>
      <c r="AZ144" s="17" t="s">
        <v>796</v>
      </c>
      <c r="BB144" s="27">
        <f>AV144+AW144</f>
        <v>0</v>
      </c>
      <c r="BC144" s="27">
        <f>G144/(100-BD144)*100</f>
        <v>0</v>
      </c>
      <c r="BD144" s="27">
        <v>0</v>
      </c>
      <c r="BE144" s="27">
        <f>L144</f>
        <v>0</v>
      </c>
      <c r="BG144" s="26">
        <f>F144*AN144</f>
        <v>0</v>
      </c>
      <c r="BH144" s="26">
        <f>F144*AO144</f>
        <v>0</v>
      </c>
      <c r="BI144" s="26">
        <f>F144*G144</f>
        <v>0</v>
      </c>
    </row>
    <row r="145" spans="4:7" ht="12">
      <c r="D145" s="39" t="s">
        <v>627</v>
      </c>
      <c r="F145" s="49"/>
      <c r="G145" s="26"/>
    </row>
    <row r="146" spans="1:61" ht="12.75">
      <c r="A146" s="24" t="s">
        <v>132</v>
      </c>
      <c r="B146" s="25"/>
      <c r="C146" s="25" t="s">
        <v>380</v>
      </c>
      <c r="D146" s="25" t="s">
        <v>628</v>
      </c>
      <c r="E146" s="25" t="s">
        <v>753</v>
      </c>
      <c r="F146" s="47">
        <v>5</v>
      </c>
      <c r="G146" s="26">
        <f>'Smluvní ceník'!G146</f>
        <v>0</v>
      </c>
      <c r="H146" s="26">
        <f>F146*AN146</f>
        <v>0</v>
      </c>
      <c r="I146" s="26">
        <f>F146*AO146</f>
        <v>0</v>
      </c>
      <c r="J146" s="26">
        <f>F146*G146</f>
        <v>0</v>
      </c>
      <c r="K146" s="26">
        <v>0</v>
      </c>
      <c r="L146" s="26">
        <f>F146*K146</f>
        <v>0</v>
      </c>
      <c r="Y146" s="27">
        <f>IF(AP146="5",BI146,0)</f>
        <v>0</v>
      </c>
      <c r="AA146" s="27">
        <f>IF(AP146="1",BG146,0)</f>
        <v>0</v>
      </c>
      <c r="AB146" s="27">
        <f>IF(AP146="1",BH146,0)</f>
        <v>0</v>
      </c>
      <c r="AC146" s="27">
        <f>IF(AP146="7",BG146,0)</f>
        <v>0</v>
      </c>
      <c r="AD146" s="27">
        <f>IF(AP146="7",BH146,0)</f>
        <v>0</v>
      </c>
      <c r="AE146" s="27">
        <f>IF(AP146="2",BG146,0)</f>
        <v>0</v>
      </c>
      <c r="AF146" s="27">
        <f>IF(AP146="2",BH146,0)</f>
        <v>0</v>
      </c>
      <c r="AG146" s="27">
        <f>IF(AP146="0",BI146,0)</f>
        <v>0</v>
      </c>
      <c r="AH146" s="17"/>
      <c r="AI146" s="26">
        <f>IF(AM146=0,J146,0)</f>
        <v>0</v>
      </c>
      <c r="AJ146" s="26">
        <f>IF(AM146=15,J146,0)</f>
        <v>0</v>
      </c>
      <c r="AK146" s="26">
        <f>IF(AM146=21,J146,0)</f>
        <v>0</v>
      </c>
      <c r="AM146" s="27">
        <v>21</v>
      </c>
      <c r="AN146" s="27">
        <f>G146*0.799993548387097</f>
        <v>0</v>
      </c>
      <c r="AO146" s="27">
        <f>G146*(1-0.799993548387097)</f>
        <v>0</v>
      </c>
      <c r="AP146" s="28" t="s">
        <v>13</v>
      </c>
      <c r="AU146" s="27">
        <f>AV146+AW146</f>
        <v>0</v>
      </c>
      <c r="AV146" s="27">
        <f>F146*AN146</f>
        <v>0</v>
      </c>
      <c r="AW146" s="27">
        <f>F146*AO146</f>
        <v>0</v>
      </c>
      <c r="AX146" s="29" t="s">
        <v>786</v>
      </c>
      <c r="AY146" s="29" t="s">
        <v>793</v>
      </c>
      <c r="AZ146" s="17" t="s">
        <v>796</v>
      </c>
      <c r="BB146" s="27">
        <f>AV146+AW146</f>
        <v>0</v>
      </c>
      <c r="BC146" s="27">
        <f>G146/(100-BD146)*100</f>
        <v>0</v>
      </c>
      <c r="BD146" s="27">
        <v>0</v>
      </c>
      <c r="BE146" s="27">
        <f>L146</f>
        <v>0</v>
      </c>
      <c r="BG146" s="26">
        <f>F146*AN146</f>
        <v>0</v>
      </c>
      <c r="BH146" s="26">
        <f>F146*AO146</f>
        <v>0</v>
      </c>
      <c r="BI146" s="26">
        <f>F146*G146</f>
        <v>0</v>
      </c>
    </row>
    <row r="147" spans="4:7" ht="12">
      <c r="D147" s="39" t="s">
        <v>625</v>
      </c>
      <c r="F147" s="48"/>
      <c r="G147" s="26"/>
    </row>
    <row r="148" spans="1:61" ht="12.75">
      <c r="A148" s="24" t="s">
        <v>133</v>
      </c>
      <c r="B148" s="25"/>
      <c r="C148" s="25" t="s">
        <v>381</v>
      </c>
      <c r="D148" s="25" t="s">
        <v>628</v>
      </c>
      <c r="E148" s="25" t="s">
        <v>753</v>
      </c>
      <c r="F148" s="47">
        <v>5</v>
      </c>
      <c r="G148" s="26">
        <f>'Smluvní ceník'!G148</f>
        <v>0</v>
      </c>
      <c r="H148" s="26">
        <f>F148*AN148</f>
        <v>0</v>
      </c>
      <c r="I148" s="26">
        <f>F148*AO148</f>
        <v>0</v>
      </c>
      <c r="J148" s="26">
        <f>F148*G148</f>
        <v>0</v>
      </c>
      <c r="K148" s="26">
        <v>0</v>
      </c>
      <c r="L148" s="26">
        <f>F148*K148</f>
        <v>0</v>
      </c>
      <c r="Y148" s="27">
        <f>IF(AP148="5",BI148,0)</f>
        <v>0</v>
      </c>
      <c r="AA148" s="27">
        <f>IF(AP148="1",BG148,0)</f>
        <v>0</v>
      </c>
      <c r="AB148" s="27">
        <f>IF(AP148="1",BH148,0)</f>
        <v>0</v>
      </c>
      <c r="AC148" s="27">
        <f>IF(AP148="7",BG148,0)</f>
        <v>0</v>
      </c>
      <c r="AD148" s="27">
        <f>IF(AP148="7",BH148,0)</f>
        <v>0</v>
      </c>
      <c r="AE148" s="27">
        <f>IF(AP148="2",BG148,0)</f>
        <v>0</v>
      </c>
      <c r="AF148" s="27">
        <f>IF(AP148="2",BH148,0)</f>
        <v>0</v>
      </c>
      <c r="AG148" s="27">
        <f>IF(AP148="0",BI148,0)</f>
        <v>0</v>
      </c>
      <c r="AH148" s="17"/>
      <c r="AI148" s="26">
        <f>IF(AM148=0,J148,0)</f>
        <v>0</v>
      </c>
      <c r="AJ148" s="26">
        <f>IF(AM148=15,J148,0)</f>
        <v>0</v>
      </c>
      <c r="AK148" s="26">
        <f>IF(AM148=21,J148,0)</f>
        <v>0</v>
      </c>
      <c r="AM148" s="27">
        <v>21</v>
      </c>
      <c r="AN148" s="27">
        <f>G148*0.799993548387097</f>
        <v>0</v>
      </c>
      <c r="AO148" s="27">
        <f>G148*(1-0.799993548387097)</f>
        <v>0</v>
      </c>
      <c r="AP148" s="28" t="s">
        <v>13</v>
      </c>
      <c r="AU148" s="27">
        <f>AV148+AW148</f>
        <v>0</v>
      </c>
      <c r="AV148" s="27">
        <f>F148*AN148</f>
        <v>0</v>
      </c>
      <c r="AW148" s="27">
        <f>F148*AO148</f>
        <v>0</v>
      </c>
      <c r="AX148" s="29" t="s">
        <v>786</v>
      </c>
      <c r="AY148" s="29" t="s">
        <v>793</v>
      </c>
      <c r="AZ148" s="17" t="s">
        <v>796</v>
      </c>
      <c r="BB148" s="27">
        <f>AV148+AW148</f>
        <v>0</v>
      </c>
      <c r="BC148" s="27">
        <f>G148/(100-BD148)*100</f>
        <v>0</v>
      </c>
      <c r="BD148" s="27">
        <v>0</v>
      </c>
      <c r="BE148" s="27">
        <f>L148</f>
        <v>0</v>
      </c>
      <c r="BG148" s="26">
        <f>F148*AN148</f>
        <v>0</v>
      </c>
      <c r="BH148" s="26">
        <f>F148*AO148</f>
        <v>0</v>
      </c>
      <c r="BI148" s="26">
        <f>F148*G148</f>
        <v>0</v>
      </c>
    </row>
    <row r="149" spans="4:7" ht="12">
      <c r="D149" s="39" t="s">
        <v>629</v>
      </c>
      <c r="F149" s="47"/>
      <c r="G149" s="26"/>
    </row>
    <row r="150" spans="1:61" ht="12.75">
      <c r="A150" s="24" t="s">
        <v>134</v>
      </c>
      <c r="B150" s="25"/>
      <c r="C150" s="25" t="s">
        <v>382</v>
      </c>
      <c r="D150" s="25" t="s">
        <v>628</v>
      </c>
      <c r="E150" s="25" t="s">
        <v>753</v>
      </c>
      <c r="F150" s="47">
        <v>5</v>
      </c>
      <c r="G150" s="26">
        <f>'Smluvní ceník'!G150</f>
        <v>0</v>
      </c>
      <c r="H150" s="26">
        <f>F150*AN150</f>
        <v>0</v>
      </c>
      <c r="I150" s="26">
        <f>F150*AO150</f>
        <v>0</v>
      </c>
      <c r="J150" s="26">
        <f>F150*G150</f>
        <v>0</v>
      </c>
      <c r="K150" s="26">
        <v>0</v>
      </c>
      <c r="L150" s="26">
        <f>F150*K150</f>
        <v>0</v>
      </c>
      <c r="Y150" s="27">
        <f>IF(AP150="5",BI150,0)</f>
        <v>0</v>
      </c>
      <c r="AA150" s="27">
        <f>IF(AP150="1",BG150,0)</f>
        <v>0</v>
      </c>
      <c r="AB150" s="27">
        <f>IF(AP150="1",BH150,0)</f>
        <v>0</v>
      </c>
      <c r="AC150" s="27">
        <f>IF(AP150="7",BG150,0)</f>
        <v>0</v>
      </c>
      <c r="AD150" s="27">
        <f>IF(AP150="7",BH150,0)</f>
        <v>0</v>
      </c>
      <c r="AE150" s="27">
        <f>IF(AP150="2",BG150,0)</f>
        <v>0</v>
      </c>
      <c r="AF150" s="27">
        <f>IF(AP150="2",BH150,0)</f>
        <v>0</v>
      </c>
      <c r="AG150" s="27">
        <f>IF(AP150="0",BI150,0)</f>
        <v>0</v>
      </c>
      <c r="AH150" s="17"/>
      <c r="AI150" s="26">
        <f>IF(AM150=0,J150,0)</f>
        <v>0</v>
      </c>
      <c r="AJ150" s="26">
        <f>IF(AM150=15,J150,0)</f>
        <v>0</v>
      </c>
      <c r="AK150" s="26">
        <f>IF(AM150=21,J150,0)</f>
        <v>0</v>
      </c>
      <c r="AM150" s="27">
        <v>21</v>
      </c>
      <c r="AN150" s="27">
        <f>G150*0.799993548387097</f>
        <v>0</v>
      </c>
      <c r="AO150" s="27">
        <f>G150*(1-0.799993548387097)</f>
        <v>0</v>
      </c>
      <c r="AP150" s="28" t="s">
        <v>13</v>
      </c>
      <c r="AU150" s="27">
        <f>AV150+AW150</f>
        <v>0</v>
      </c>
      <c r="AV150" s="27">
        <f>F150*AN150</f>
        <v>0</v>
      </c>
      <c r="AW150" s="27">
        <f>F150*AO150</f>
        <v>0</v>
      </c>
      <c r="AX150" s="29" t="s">
        <v>786</v>
      </c>
      <c r="AY150" s="29" t="s">
        <v>793</v>
      </c>
      <c r="AZ150" s="17" t="s">
        <v>796</v>
      </c>
      <c r="BB150" s="27">
        <f>AV150+AW150</f>
        <v>0</v>
      </c>
      <c r="BC150" s="27">
        <f>G150/(100-BD150)*100</f>
        <v>0</v>
      </c>
      <c r="BD150" s="27">
        <v>0</v>
      </c>
      <c r="BE150" s="27">
        <f>L150</f>
        <v>0</v>
      </c>
      <c r="BG150" s="26">
        <f>F150*AN150</f>
        <v>0</v>
      </c>
      <c r="BH150" s="26">
        <f>F150*AO150</f>
        <v>0</v>
      </c>
      <c r="BI150" s="26">
        <f>F150*G150</f>
        <v>0</v>
      </c>
    </row>
    <row r="151" spans="4:7" ht="12">
      <c r="D151" s="39" t="s">
        <v>630</v>
      </c>
      <c r="F151" s="47"/>
      <c r="G151" s="26"/>
    </row>
    <row r="152" spans="1:61" ht="12.75">
      <c r="A152" s="24" t="s">
        <v>135</v>
      </c>
      <c r="B152" s="25"/>
      <c r="C152" s="25" t="s">
        <v>383</v>
      </c>
      <c r="D152" s="25" t="s">
        <v>631</v>
      </c>
      <c r="E152" s="25" t="s">
        <v>753</v>
      </c>
      <c r="F152" s="26">
        <v>5</v>
      </c>
      <c r="G152" s="26">
        <f>'Smluvní ceník'!G152</f>
        <v>0</v>
      </c>
      <c r="H152" s="26">
        <f>F152*AN152</f>
        <v>0</v>
      </c>
      <c r="I152" s="26">
        <f>F152*AO152</f>
        <v>0</v>
      </c>
      <c r="J152" s="26">
        <f>F152*G152</f>
        <v>0</v>
      </c>
      <c r="K152" s="26">
        <v>0</v>
      </c>
      <c r="L152" s="26">
        <f>F152*K152</f>
        <v>0</v>
      </c>
      <c r="Y152" s="27">
        <f>IF(AP152="5",BI152,0)</f>
        <v>0</v>
      </c>
      <c r="AA152" s="27">
        <f>IF(AP152="1",BG152,0)</f>
        <v>0</v>
      </c>
      <c r="AB152" s="27">
        <f>IF(AP152="1",BH152,0)</f>
        <v>0</v>
      </c>
      <c r="AC152" s="27">
        <f>IF(AP152="7",BG152,0)</f>
        <v>0</v>
      </c>
      <c r="AD152" s="27">
        <f>IF(AP152="7",BH152,0)</f>
        <v>0</v>
      </c>
      <c r="AE152" s="27">
        <f>IF(AP152="2",BG152,0)</f>
        <v>0</v>
      </c>
      <c r="AF152" s="27">
        <f>IF(AP152="2",BH152,0)</f>
        <v>0</v>
      </c>
      <c r="AG152" s="27">
        <f>IF(AP152="0",BI152,0)</f>
        <v>0</v>
      </c>
      <c r="AH152" s="17"/>
      <c r="AI152" s="26">
        <f>IF(AM152=0,J152,0)</f>
        <v>0</v>
      </c>
      <c r="AJ152" s="26">
        <f>IF(AM152=15,J152,0)</f>
        <v>0</v>
      </c>
      <c r="AK152" s="26">
        <f>IF(AM152=21,J152,0)</f>
        <v>0</v>
      </c>
      <c r="AM152" s="27">
        <v>21</v>
      </c>
      <c r="AN152" s="27">
        <f>G152*0.799993548387097</f>
        <v>0</v>
      </c>
      <c r="AO152" s="27">
        <f>G152*(1-0.799993548387097)</f>
        <v>0</v>
      </c>
      <c r="AP152" s="28" t="s">
        <v>13</v>
      </c>
      <c r="AU152" s="27">
        <f>AV152+AW152</f>
        <v>0</v>
      </c>
      <c r="AV152" s="27">
        <f>F152*AN152</f>
        <v>0</v>
      </c>
      <c r="AW152" s="27">
        <f>F152*AO152</f>
        <v>0</v>
      </c>
      <c r="AX152" s="29" t="s">
        <v>786</v>
      </c>
      <c r="AY152" s="29" t="s">
        <v>793</v>
      </c>
      <c r="AZ152" s="17" t="s">
        <v>796</v>
      </c>
      <c r="BB152" s="27">
        <f>AV152+AW152</f>
        <v>0</v>
      </c>
      <c r="BC152" s="27">
        <f>G152/(100-BD152)*100</f>
        <v>0</v>
      </c>
      <c r="BD152" s="27">
        <v>0</v>
      </c>
      <c r="BE152" s="27">
        <f>L152</f>
        <v>0</v>
      </c>
      <c r="BG152" s="26">
        <f>F152*AN152</f>
        <v>0</v>
      </c>
      <c r="BH152" s="26">
        <f>F152*AO152</f>
        <v>0</v>
      </c>
      <c r="BI152" s="26">
        <f>F152*G152</f>
        <v>0</v>
      </c>
    </row>
    <row r="153" spans="4:7" ht="12">
      <c r="D153" s="39" t="s">
        <v>625</v>
      </c>
      <c r="G153" s="26"/>
    </row>
    <row r="154" spans="1:61" ht="12.75">
      <c r="A154" s="24" t="s">
        <v>136</v>
      </c>
      <c r="B154" s="25"/>
      <c r="C154" s="25" t="s">
        <v>384</v>
      </c>
      <c r="D154" s="25" t="s">
        <v>631</v>
      </c>
      <c r="E154" s="25" t="s">
        <v>753</v>
      </c>
      <c r="F154" s="26">
        <v>5</v>
      </c>
      <c r="G154" s="26">
        <f>'Smluvní ceník'!G154</f>
        <v>0</v>
      </c>
      <c r="H154" s="26">
        <f>F154*AN154</f>
        <v>0</v>
      </c>
      <c r="I154" s="26">
        <f>F154*AO154</f>
        <v>0</v>
      </c>
      <c r="J154" s="26">
        <f>F154*G154</f>
        <v>0</v>
      </c>
      <c r="K154" s="26">
        <v>0</v>
      </c>
      <c r="L154" s="26">
        <f>F154*K154</f>
        <v>0</v>
      </c>
      <c r="Y154" s="27">
        <f>IF(AP154="5",BI154,0)</f>
        <v>0</v>
      </c>
      <c r="AA154" s="27">
        <f>IF(AP154="1",BG154,0)</f>
        <v>0</v>
      </c>
      <c r="AB154" s="27">
        <f>IF(AP154="1",BH154,0)</f>
        <v>0</v>
      </c>
      <c r="AC154" s="27">
        <f>IF(AP154="7",BG154,0)</f>
        <v>0</v>
      </c>
      <c r="AD154" s="27">
        <f>IF(AP154="7",BH154,0)</f>
        <v>0</v>
      </c>
      <c r="AE154" s="27">
        <f>IF(AP154="2",BG154,0)</f>
        <v>0</v>
      </c>
      <c r="AF154" s="27">
        <f>IF(AP154="2",BH154,0)</f>
        <v>0</v>
      </c>
      <c r="AG154" s="27">
        <f>IF(AP154="0",BI154,0)</f>
        <v>0</v>
      </c>
      <c r="AH154" s="17"/>
      <c r="AI154" s="26">
        <f>IF(AM154=0,J154,0)</f>
        <v>0</v>
      </c>
      <c r="AJ154" s="26">
        <f>IF(AM154=15,J154,0)</f>
        <v>0</v>
      </c>
      <c r="AK154" s="26">
        <f>IF(AM154=21,J154,0)</f>
        <v>0</v>
      </c>
      <c r="AM154" s="27">
        <v>21</v>
      </c>
      <c r="AN154" s="27">
        <f>G154*0.799993548387097</f>
        <v>0</v>
      </c>
      <c r="AO154" s="27">
        <f>G154*(1-0.799993548387097)</f>
        <v>0</v>
      </c>
      <c r="AP154" s="28" t="s">
        <v>13</v>
      </c>
      <c r="AU154" s="27">
        <f>AV154+AW154</f>
        <v>0</v>
      </c>
      <c r="AV154" s="27">
        <f>F154*AN154</f>
        <v>0</v>
      </c>
      <c r="AW154" s="27">
        <f>F154*AO154</f>
        <v>0</v>
      </c>
      <c r="AX154" s="29" t="s">
        <v>786</v>
      </c>
      <c r="AY154" s="29" t="s">
        <v>793</v>
      </c>
      <c r="AZ154" s="17" t="s">
        <v>796</v>
      </c>
      <c r="BB154" s="27">
        <f>AV154+AW154</f>
        <v>0</v>
      </c>
      <c r="BC154" s="27">
        <f>G154/(100-BD154)*100</f>
        <v>0</v>
      </c>
      <c r="BD154" s="27">
        <v>0</v>
      </c>
      <c r="BE154" s="27">
        <f>L154</f>
        <v>0</v>
      </c>
      <c r="BG154" s="26">
        <f>F154*AN154</f>
        <v>0</v>
      </c>
      <c r="BH154" s="26">
        <f>F154*AO154</f>
        <v>0</v>
      </c>
      <c r="BI154" s="26">
        <f>F154*G154</f>
        <v>0</v>
      </c>
    </row>
    <row r="155" spans="4:7" ht="12">
      <c r="D155" s="39" t="s">
        <v>629</v>
      </c>
      <c r="G155" s="26"/>
    </row>
    <row r="156" spans="1:61" ht="12.75">
      <c r="A156" s="24" t="s">
        <v>137</v>
      </c>
      <c r="B156" s="25"/>
      <c r="C156" s="25" t="s">
        <v>385</v>
      </c>
      <c r="D156" s="25" t="s">
        <v>631</v>
      </c>
      <c r="E156" s="25" t="s">
        <v>753</v>
      </c>
      <c r="F156" s="26">
        <v>5</v>
      </c>
      <c r="G156" s="26">
        <f>'Smluvní ceník'!G156</f>
        <v>0</v>
      </c>
      <c r="H156" s="26">
        <f>F156*AN156</f>
        <v>0</v>
      </c>
      <c r="I156" s="26">
        <f>F156*AO156</f>
        <v>0</v>
      </c>
      <c r="J156" s="26">
        <f>F156*G156</f>
        <v>0</v>
      </c>
      <c r="K156" s="26">
        <v>0</v>
      </c>
      <c r="L156" s="26">
        <f>F156*K156</f>
        <v>0</v>
      </c>
      <c r="Y156" s="27">
        <f>IF(AP156="5",BI156,0)</f>
        <v>0</v>
      </c>
      <c r="AA156" s="27">
        <f>IF(AP156="1",BG156,0)</f>
        <v>0</v>
      </c>
      <c r="AB156" s="27">
        <f>IF(AP156="1",BH156,0)</f>
        <v>0</v>
      </c>
      <c r="AC156" s="27">
        <f>IF(AP156="7",BG156,0)</f>
        <v>0</v>
      </c>
      <c r="AD156" s="27">
        <f>IF(AP156="7",BH156,0)</f>
        <v>0</v>
      </c>
      <c r="AE156" s="27">
        <f>IF(AP156="2",BG156,0)</f>
        <v>0</v>
      </c>
      <c r="AF156" s="27">
        <f>IF(AP156="2",BH156,0)</f>
        <v>0</v>
      </c>
      <c r="AG156" s="27">
        <f>IF(AP156="0",BI156,0)</f>
        <v>0</v>
      </c>
      <c r="AH156" s="17"/>
      <c r="AI156" s="26">
        <f>IF(AM156=0,J156,0)</f>
        <v>0</v>
      </c>
      <c r="AJ156" s="26">
        <f>IF(AM156=15,J156,0)</f>
        <v>0</v>
      </c>
      <c r="AK156" s="26">
        <f>IF(AM156=21,J156,0)</f>
        <v>0</v>
      </c>
      <c r="AM156" s="27">
        <v>21</v>
      </c>
      <c r="AN156" s="27">
        <f>G156*0.799993548387097</f>
        <v>0</v>
      </c>
      <c r="AO156" s="27">
        <f>G156*(1-0.799993548387097)</f>
        <v>0</v>
      </c>
      <c r="AP156" s="28" t="s">
        <v>13</v>
      </c>
      <c r="AU156" s="27">
        <f>AV156+AW156</f>
        <v>0</v>
      </c>
      <c r="AV156" s="27">
        <f>F156*AN156</f>
        <v>0</v>
      </c>
      <c r="AW156" s="27">
        <f>F156*AO156</f>
        <v>0</v>
      </c>
      <c r="AX156" s="29" t="s">
        <v>786</v>
      </c>
      <c r="AY156" s="29" t="s">
        <v>793</v>
      </c>
      <c r="AZ156" s="17" t="s">
        <v>796</v>
      </c>
      <c r="BB156" s="27">
        <f>AV156+AW156</f>
        <v>0</v>
      </c>
      <c r="BC156" s="27">
        <f>G156/(100-BD156)*100</f>
        <v>0</v>
      </c>
      <c r="BD156" s="27">
        <v>0</v>
      </c>
      <c r="BE156" s="27">
        <f>L156</f>
        <v>0</v>
      </c>
      <c r="BG156" s="26">
        <f>F156*AN156</f>
        <v>0</v>
      </c>
      <c r="BH156" s="26">
        <f>F156*AO156</f>
        <v>0</v>
      </c>
      <c r="BI156" s="26">
        <f>F156*G156</f>
        <v>0</v>
      </c>
    </row>
    <row r="157" spans="4:7" ht="12">
      <c r="D157" s="39" t="s">
        <v>630</v>
      </c>
      <c r="G157" s="26"/>
    </row>
    <row r="158" spans="1:61" ht="12.75">
      <c r="A158" s="34" t="s">
        <v>138</v>
      </c>
      <c r="B158" s="35"/>
      <c r="C158" s="35" t="s">
        <v>386</v>
      </c>
      <c r="D158" s="35" t="s">
        <v>632</v>
      </c>
      <c r="E158" s="35" t="s">
        <v>753</v>
      </c>
      <c r="F158" s="36">
        <v>2</v>
      </c>
      <c r="G158" s="26">
        <f>'Smluvní ceník'!G158</f>
        <v>0</v>
      </c>
      <c r="H158" s="36">
        <f>F158*AN158</f>
        <v>0</v>
      </c>
      <c r="I158" s="36">
        <f>F158*AO158</f>
        <v>0</v>
      </c>
      <c r="J158" s="36">
        <f>F158*G158</f>
        <v>0</v>
      </c>
      <c r="K158" s="36">
        <v>0.0052</v>
      </c>
      <c r="L158" s="36">
        <f>F158*K158</f>
        <v>0.0104</v>
      </c>
      <c r="Y158" s="27">
        <f>IF(AP158="5",BI158,0)</f>
        <v>0</v>
      </c>
      <c r="AA158" s="27">
        <f>IF(AP158="1",BG158,0)</f>
        <v>0</v>
      </c>
      <c r="AB158" s="27">
        <f>IF(AP158="1",BH158,0)</f>
        <v>0</v>
      </c>
      <c r="AC158" s="27">
        <f>IF(AP158="7",BG158,0)</f>
        <v>0</v>
      </c>
      <c r="AD158" s="27">
        <f>IF(AP158="7",BH158,0)</f>
        <v>0</v>
      </c>
      <c r="AE158" s="27">
        <f>IF(AP158="2",BG158,0)</f>
        <v>0</v>
      </c>
      <c r="AF158" s="27">
        <f>IF(AP158="2",BH158,0)</f>
        <v>0</v>
      </c>
      <c r="AG158" s="27">
        <f>IF(AP158="0",BI158,0)</f>
        <v>0</v>
      </c>
      <c r="AH158" s="17"/>
      <c r="AI158" s="36">
        <f>IF(AM158=0,J158,0)</f>
        <v>0</v>
      </c>
      <c r="AJ158" s="36">
        <f>IF(AM158=15,J158,0)</f>
        <v>0</v>
      </c>
      <c r="AK158" s="36">
        <f>IF(AM158=21,J158,0)</f>
        <v>0</v>
      </c>
      <c r="AM158" s="27">
        <v>21</v>
      </c>
      <c r="AN158" s="27">
        <f>G158*1</f>
        <v>0</v>
      </c>
      <c r="AO158" s="27">
        <f>G158*(1-1)</f>
        <v>0</v>
      </c>
      <c r="AP158" s="37" t="s">
        <v>13</v>
      </c>
      <c r="AU158" s="27">
        <f>AV158+AW158</f>
        <v>0</v>
      </c>
      <c r="AV158" s="27">
        <f>F158*AN158</f>
        <v>0</v>
      </c>
      <c r="AW158" s="27">
        <f>F158*AO158</f>
        <v>0</v>
      </c>
      <c r="AX158" s="29" t="s">
        <v>786</v>
      </c>
      <c r="AY158" s="29" t="s">
        <v>793</v>
      </c>
      <c r="AZ158" s="17" t="s">
        <v>796</v>
      </c>
      <c r="BB158" s="27">
        <f>AV158+AW158</f>
        <v>0</v>
      </c>
      <c r="BC158" s="27">
        <f>G158/(100-BD158)*100</f>
        <v>0</v>
      </c>
      <c r="BD158" s="27">
        <v>0</v>
      </c>
      <c r="BE158" s="27">
        <f>L158</f>
        <v>0.0104</v>
      </c>
      <c r="BG158" s="36">
        <f>F158*AN158</f>
        <v>0</v>
      </c>
      <c r="BH158" s="36">
        <f>F158*AO158</f>
        <v>0</v>
      </c>
      <c r="BI158" s="36">
        <f>F158*G158</f>
        <v>0</v>
      </c>
    </row>
    <row r="159" spans="1:61" ht="12.75">
      <c r="A159" s="34" t="s">
        <v>139</v>
      </c>
      <c r="B159" s="35"/>
      <c r="C159" s="35" t="s">
        <v>387</v>
      </c>
      <c r="D159" s="35" t="s">
        <v>633</v>
      </c>
      <c r="E159" s="35" t="s">
        <v>753</v>
      </c>
      <c r="F159" s="36">
        <v>2</v>
      </c>
      <c r="G159" s="26">
        <f>'Smluvní ceník'!G159</f>
        <v>0</v>
      </c>
      <c r="H159" s="36">
        <f>F159*AN159</f>
        <v>0</v>
      </c>
      <c r="I159" s="36">
        <f>F159*AO159</f>
        <v>0</v>
      </c>
      <c r="J159" s="36">
        <f>F159*G159</f>
        <v>0</v>
      </c>
      <c r="K159" s="36">
        <v>0.0052</v>
      </c>
      <c r="L159" s="36">
        <f>F159*K159</f>
        <v>0.0104</v>
      </c>
      <c r="Y159" s="27">
        <f>IF(AP159="5",BI159,0)</f>
        <v>0</v>
      </c>
      <c r="AA159" s="27">
        <f>IF(AP159="1",BG159,0)</f>
        <v>0</v>
      </c>
      <c r="AB159" s="27">
        <f>IF(AP159="1",BH159,0)</f>
        <v>0</v>
      </c>
      <c r="AC159" s="27">
        <f>IF(AP159="7",BG159,0)</f>
        <v>0</v>
      </c>
      <c r="AD159" s="27">
        <f>IF(AP159="7",BH159,0)</f>
        <v>0</v>
      </c>
      <c r="AE159" s="27">
        <f>IF(AP159="2",BG159,0)</f>
        <v>0</v>
      </c>
      <c r="AF159" s="27">
        <f>IF(AP159="2",BH159,0)</f>
        <v>0</v>
      </c>
      <c r="AG159" s="27">
        <f>IF(AP159="0",BI159,0)</f>
        <v>0</v>
      </c>
      <c r="AH159" s="17"/>
      <c r="AI159" s="36">
        <f>IF(AM159=0,J159,0)</f>
        <v>0</v>
      </c>
      <c r="AJ159" s="36">
        <f>IF(AM159=15,J159,0)</f>
        <v>0</v>
      </c>
      <c r="AK159" s="36">
        <f>IF(AM159=21,J159,0)</f>
        <v>0</v>
      </c>
      <c r="AM159" s="27">
        <v>21</v>
      </c>
      <c r="AN159" s="27">
        <f>G159*1</f>
        <v>0</v>
      </c>
      <c r="AO159" s="27">
        <f>G159*(1-1)</f>
        <v>0</v>
      </c>
      <c r="AP159" s="37" t="s">
        <v>13</v>
      </c>
      <c r="AU159" s="27">
        <f>AV159+AW159</f>
        <v>0</v>
      </c>
      <c r="AV159" s="27">
        <f>F159*AN159</f>
        <v>0</v>
      </c>
      <c r="AW159" s="27">
        <f>F159*AO159</f>
        <v>0</v>
      </c>
      <c r="AX159" s="29" t="s">
        <v>786</v>
      </c>
      <c r="AY159" s="29" t="s">
        <v>793</v>
      </c>
      <c r="AZ159" s="17" t="s">
        <v>796</v>
      </c>
      <c r="BB159" s="27">
        <f>AV159+AW159</f>
        <v>0</v>
      </c>
      <c r="BC159" s="27">
        <f>G159/(100-BD159)*100</f>
        <v>0</v>
      </c>
      <c r="BD159" s="27">
        <v>0</v>
      </c>
      <c r="BE159" s="27">
        <f>L159</f>
        <v>0.0104</v>
      </c>
      <c r="BG159" s="36">
        <f>F159*AN159</f>
        <v>0</v>
      </c>
      <c r="BH159" s="36">
        <f>F159*AO159</f>
        <v>0</v>
      </c>
      <c r="BI159" s="36">
        <f>F159*G159</f>
        <v>0</v>
      </c>
    </row>
    <row r="160" spans="1:61" ht="12.75">
      <c r="A160" s="24" t="s">
        <v>140</v>
      </c>
      <c r="B160" s="25"/>
      <c r="C160" s="25" t="s">
        <v>388</v>
      </c>
      <c r="D160" s="25" t="s">
        <v>634</v>
      </c>
      <c r="E160" s="25" t="s">
        <v>755</v>
      </c>
      <c r="F160" s="26">
        <v>100</v>
      </c>
      <c r="G160" s="26">
        <f>'Smluvní ceník'!G160</f>
        <v>0</v>
      </c>
      <c r="H160" s="26">
        <f>F160*AN160</f>
        <v>0</v>
      </c>
      <c r="I160" s="26">
        <f>F160*AO160</f>
        <v>0</v>
      </c>
      <c r="J160" s="26">
        <f>F160*G160</f>
        <v>0</v>
      </c>
      <c r="K160" s="26">
        <v>0</v>
      </c>
      <c r="L160" s="26">
        <f>F160*K160</f>
        <v>0</v>
      </c>
      <c r="Y160" s="27">
        <f>IF(AP160="5",BI160,0)</f>
        <v>0</v>
      </c>
      <c r="AA160" s="27">
        <f>IF(AP160="1",BG160,0)</f>
        <v>0</v>
      </c>
      <c r="AB160" s="27">
        <f>IF(AP160="1",BH160,0)</f>
        <v>0</v>
      </c>
      <c r="AC160" s="27">
        <f>IF(AP160="7",BG160,0)</f>
        <v>0</v>
      </c>
      <c r="AD160" s="27">
        <f>IF(AP160="7",BH160,0)</f>
        <v>0</v>
      </c>
      <c r="AE160" s="27">
        <f>IF(AP160="2",BG160,0)</f>
        <v>0</v>
      </c>
      <c r="AF160" s="27">
        <f>IF(AP160="2",BH160,0)</f>
        <v>0</v>
      </c>
      <c r="AG160" s="27">
        <f>IF(AP160="0",BI160,0)</f>
        <v>0</v>
      </c>
      <c r="AH160" s="17"/>
      <c r="AI160" s="26">
        <f>IF(AM160=0,J160,0)</f>
        <v>0</v>
      </c>
      <c r="AJ160" s="26">
        <f>IF(AM160=15,J160,0)</f>
        <v>0</v>
      </c>
      <c r="AK160" s="26">
        <f>IF(AM160=21,J160,0)</f>
        <v>0</v>
      </c>
      <c r="AM160" s="27">
        <v>21</v>
      </c>
      <c r="AN160" s="27">
        <f>G160*0</f>
        <v>0</v>
      </c>
      <c r="AO160" s="27">
        <f>G160*(1-0)</f>
        <v>0</v>
      </c>
      <c r="AP160" s="28" t="s">
        <v>13</v>
      </c>
      <c r="AU160" s="27">
        <f>AV160+AW160</f>
        <v>0</v>
      </c>
      <c r="AV160" s="27">
        <f>F160*AN160</f>
        <v>0</v>
      </c>
      <c r="AW160" s="27">
        <f>F160*AO160</f>
        <v>0</v>
      </c>
      <c r="AX160" s="29" t="s">
        <v>786</v>
      </c>
      <c r="AY160" s="29" t="s">
        <v>793</v>
      </c>
      <c r="AZ160" s="17" t="s">
        <v>796</v>
      </c>
      <c r="BB160" s="27">
        <f>AV160+AW160</f>
        <v>0</v>
      </c>
      <c r="BC160" s="27">
        <f>G160/(100-BD160)*100</f>
        <v>0</v>
      </c>
      <c r="BD160" s="27">
        <v>0</v>
      </c>
      <c r="BE160" s="27">
        <f>L160</f>
        <v>0</v>
      </c>
      <c r="BG160" s="26">
        <f>F160*AN160</f>
        <v>0</v>
      </c>
      <c r="BH160" s="26">
        <f>F160*AO160</f>
        <v>0</v>
      </c>
      <c r="BI160" s="26">
        <f>F160*G160</f>
        <v>0</v>
      </c>
    </row>
    <row r="161" spans="1:61" ht="12.75" hidden="1">
      <c r="A161" s="24" t="s">
        <v>141</v>
      </c>
      <c r="B161" s="25"/>
      <c r="C161" s="25" t="s">
        <v>389</v>
      </c>
      <c r="D161" s="25" t="s">
        <v>635</v>
      </c>
      <c r="E161" s="25" t="s">
        <v>753</v>
      </c>
      <c r="F161" s="26">
        <v>0</v>
      </c>
      <c r="G161" s="26">
        <f>'Smluvní ceník'!G161</f>
        <v>0</v>
      </c>
      <c r="H161" s="26">
        <f>F161*AN161</f>
        <v>0</v>
      </c>
      <c r="I161" s="26">
        <f>F161*AO161</f>
        <v>0</v>
      </c>
      <c r="J161" s="26">
        <f>F161*G161</f>
        <v>0</v>
      </c>
      <c r="K161" s="26">
        <v>0</v>
      </c>
      <c r="L161" s="26">
        <f>F161*K161</f>
        <v>0</v>
      </c>
      <c r="Y161" s="27">
        <f>IF(AP161="5",BI161,0)</f>
        <v>0</v>
      </c>
      <c r="AA161" s="27">
        <f>IF(AP161="1",BG161,0)</f>
        <v>0</v>
      </c>
      <c r="AB161" s="27">
        <f>IF(AP161="1",BH161,0)</f>
        <v>0</v>
      </c>
      <c r="AC161" s="27">
        <f>IF(AP161="7",BG161,0)</f>
        <v>0</v>
      </c>
      <c r="AD161" s="27">
        <f>IF(AP161="7",BH161,0)</f>
        <v>0</v>
      </c>
      <c r="AE161" s="27">
        <f>IF(AP161="2",BG161,0)</f>
        <v>0</v>
      </c>
      <c r="AF161" s="27">
        <f>IF(AP161="2",BH161,0)</f>
        <v>0</v>
      </c>
      <c r="AG161" s="27">
        <f>IF(AP161="0",BI161,0)</f>
        <v>0</v>
      </c>
      <c r="AH161" s="17"/>
      <c r="AI161" s="26">
        <f>IF(AM161=0,J161,0)</f>
        <v>0</v>
      </c>
      <c r="AJ161" s="26">
        <f>IF(AM161=15,J161,0)</f>
        <v>0</v>
      </c>
      <c r="AK161" s="26">
        <f>IF(AM161=21,J161,0)</f>
        <v>0</v>
      </c>
      <c r="AM161" s="27">
        <v>21</v>
      </c>
      <c r="AN161" s="27">
        <f>G161*0.5</f>
        <v>0</v>
      </c>
      <c r="AO161" s="27">
        <f>G161*(1-0.5)</f>
        <v>0</v>
      </c>
      <c r="AP161" s="28" t="s">
        <v>13</v>
      </c>
      <c r="AU161" s="27">
        <f>AV161+AW161</f>
        <v>0</v>
      </c>
      <c r="AV161" s="27">
        <f>F161*AN161</f>
        <v>0</v>
      </c>
      <c r="AW161" s="27">
        <f>F161*AO161</f>
        <v>0</v>
      </c>
      <c r="AX161" s="29" t="s">
        <v>786</v>
      </c>
      <c r="AY161" s="29" t="s">
        <v>793</v>
      </c>
      <c r="AZ161" s="17" t="s">
        <v>796</v>
      </c>
      <c r="BB161" s="27">
        <f>AV161+AW161</f>
        <v>0</v>
      </c>
      <c r="BC161" s="27">
        <f>G161/(100-BD161)*100</f>
        <v>0</v>
      </c>
      <c r="BD161" s="27">
        <v>0</v>
      </c>
      <c r="BE161" s="27">
        <f>L161</f>
        <v>0</v>
      </c>
      <c r="BG161" s="26">
        <f>F161*AN161</f>
        <v>0</v>
      </c>
      <c r="BH161" s="26">
        <f>F161*AO161</f>
        <v>0</v>
      </c>
      <c r="BI161" s="26">
        <f>F161*G161</f>
        <v>0</v>
      </c>
    </row>
    <row r="162" spans="1:61" ht="12.75">
      <c r="A162" s="24" t="s">
        <v>142</v>
      </c>
      <c r="B162" s="25"/>
      <c r="C162" s="25" t="s">
        <v>390</v>
      </c>
      <c r="D162" s="25" t="s">
        <v>636</v>
      </c>
      <c r="E162" s="25" t="s">
        <v>753</v>
      </c>
      <c r="F162" s="26">
        <v>100</v>
      </c>
      <c r="G162" s="26">
        <f>'Smluvní ceník'!G162</f>
        <v>0</v>
      </c>
      <c r="H162" s="26">
        <f>F162*AN162</f>
        <v>0</v>
      </c>
      <c r="I162" s="26">
        <f>F162*AO162</f>
        <v>0</v>
      </c>
      <c r="J162" s="26">
        <f>F162*G162</f>
        <v>0</v>
      </c>
      <c r="K162" s="26">
        <v>0</v>
      </c>
      <c r="L162" s="26">
        <f>F162*K162</f>
        <v>0</v>
      </c>
      <c r="Y162" s="27">
        <f>IF(AP162="5",BI162,0)</f>
        <v>0</v>
      </c>
      <c r="AA162" s="27">
        <f>IF(AP162="1",BG162,0)</f>
        <v>0</v>
      </c>
      <c r="AB162" s="27">
        <f>IF(AP162="1",BH162,0)</f>
        <v>0</v>
      </c>
      <c r="AC162" s="27">
        <f>IF(AP162="7",BG162,0)</f>
        <v>0</v>
      </c>
      <c r="AD162" s="27">
        <f>IF(AP162="7",BH162,0)</f>
        <v>0</v>
      </c>
      <c r="AE162" s="27">
        <f>IF(AP162="2",BG162,0)</f>
        <v>0</v>
      </c>
      <c r="AF162" s="27">
        <f>IF(AP162="2",BH162,0)</f>
        <v>0</v>
      </c>
      <c r="AG162" s="27">
        <f>IF(AP162="0",BI162,0)</f>
        <v>0</v>
      </c>
      <c r="AH162" s="17"/>
      <c r="AI162" s="26">
        <f>IF(AM162=0,J162,0)</f>
        <v>0</v>
      </c>
      <c r="AJ162" s="26">
        <f>IF(AM162=15,J162,0)</f>
        <v>0</v>
      </c>
      <c r="AK162" s="26">
        <f>IF(AM162=21,J162,0)</f>
        <v>0</v>
      </c>
      <c r="AM162" s="27">
        <v>21</v>
      </c>
      <c r="AN162" s="27">
        <f>G162*0</f>
        <v>0</v>
      </c>
      <c r="AO162" s="27">
        <f>G162*(1-0)</f>
        <v>0</v>
      </c>
      <c r="AP162" s="28" t="s">
        <v>13</v>
      </c>
      <c r="AU162" s="27">
        <f>AV162+AW162</f>
        <v>0</v>
      </c>
      <c r="AV162" s="27">
        <f>F162*AN162</f>
        <v>0</v>
      </c>
      <c r="AW162" s="27">
        <f>F162*AO162</f>
        <v>0</v>
      </c>
      <c r="AX162" s="29" t="s">
        <v>786</v>
      </c>
      <c r="AY162" s="29" t="s">
        <v>793</v>
      </c>
      <c r="AZ162" s="17" t="s">
        <v>796</v>
      </c>
      <c r="BB162" s="27">
        <f>AV162+AW162</f>
        <v>0</v>
      </c>
      <c r="BC162" s="27">
        <f>G162/(100-BD162)*100</f>
        <v>0</v>
      </c>
      <c r="BD162" s="27">
        <v>0</v>
      </c>
      <c r="BE162" s="27">
        <f>L162</f>
        <v>0</v>
      </c>
      <c r="BG162" s="26">
        <f>F162*AN162</f>
        <v>0</v>
      </c>
      <c r="BH162" s="26">
        <f>F162*AO162</f>
        <v>0</v>
      </c>
      <c r="BI162" s="26">
        <f>F162*G162</f>
        <v>0</v>
      </c>
    </row>
    <row r="163" spans="4:7" ht="12">
      <c r="D163" s="39" t="s">
        <v>637</v>
      </c>
      <c r="G163" s="26"/>
    </row>
    <row r="164" spans="1:61" ht="12.75">
      <c r="A164" s="24" t="s">
        <v>143</v>
      </c>
      <c r="B164" s="25"/>
      <c r="C164" s="25" t="s">
        <v>391</v>
      </c>
      <c r="D164" s="25" t="s">
        <v>638</v>
      </c>
      <c r="E164" s="25" t="s">
        <v>756</v>
      </c>
      <c r="F164" s="26">
        <v>100</v>
      </c>
      <c r="G164" s="26">
        <f>'Smluvní ceník'!G164</f>
        <v>0</v>
      </c>
      <c r="H164" s="26">
        <f>F164*AN164</f>
        <v>0</v>
      </c>
      <c r="I164" s="26">
        <f>F164*AO164</f>
        <v>0</v>
      </c>
      <c r="J164" s="26">
        <f>F164*G164</f>
        <v>0</v>
      </c>
      <c r="K164" s="26">
        <v>0</v>
      </c>
      <c r="L164" s="26">
        <f>F164*K164</f>
        <v>0</v>
      </c>
      <c r="Y164" s="27">
        <f>IF(AP164="5",BI164,0)</f>
        <v>0</v>
      </c>
      <c r="AA164" s="27">
        <f>IF(AP164="1",BG164,0)</f>
        <v>0</v>
      </c>
      <c r="AB164" s="27">
        <f>IF(AP164="1",BH164,0)</f>
        <v>0</v>
      </c>
      <c r="AC164" s="27">
        <f>IF(AP164="7",BG164,0)</f>
        <v>0</v>
      </c>
      <c r="AD164" s="27">
        <f>IF(AP164="7",BH164,0)</f>
        <v>0</v>
      </c>
      <c r="AE164" s="27">
        <f>IF(AP164="2",BG164,0)</f>
        <v>0</v>
      </c>
      <c r="AF164" s="27">
        <f>IF(AP164="2",BH164,0)</f>
        <v>0</v>
      </c>
      <c r="AG164" s="27">
        <f>IF(AP164="0",BI164,0)</f>
        <v>0</v>
      </c>
      <c r="AH164" s="17"/>
      <c r="AI164" s="26">
        <f>IF(AM164=0,J164,0)</f>
        <v>0</v>
      </c>
      <c r="AJ164" s="26">
        <f>IF(AM164=15,J164,0)</f>
        <v>0</v>
      </c>
      <c r="AK164" s="26">
        <f>IF(AM164=21,J164,0)</f>
        <v>0</v>
      </c>
      <c r="AM164" s="27">
        <v>21</v>
      </c>
      <c r="AN164" s="27">
        <f>G164*0</f>
        <v>0</v>
      </c>
      <c r="AO164" s="27">
        <f>G164*(1-0)</f>
        <v>0</v>
      </c>
      <c r="AP164" s="28" t="s">
        <v>13</v>
      </c>
      <c r="AU164" s="27">
        <f>AV164+AW164</f>
        <v>0</v>
      </c>
      <c r="AV164" s="27">
        <f>F164*AN164</f>
        <v>0</v>
      </c>
      <c r="AW164" s="27">
        <f>F164*AO164</f>
        <v>0</v>
      </c>
      <c r="AX164" s="29" t="s">
        <v>786</v>
      </c>
      <c r="AY164" s="29" t="s">
        <v>793</v>
      </c>
      <c r="AZ164" s="17" t="s">
        <v>796</v>
      </c>
      <c r="BB164" s="27">
        <f>AV164+AW164</f>
        <v>0</v>
      </c>
      <c r="BC164" s="27">
        <f>G164/(100-BD164)*100</f>
        <v>0</v>
      </c>
      <c r="BD164" s="27">
        <v>0</v>
      </c>
      <c r="BE164" s="27">
        <f>L164</f>
        <v>0</v>
      </c>
      <c r="BG164" s="26">
        <f>F164*AN164</f>
        <v>0</v>
      </c>
      <c r="BH164" s="26">
        <f>F164*AO164</f>
        <v>0</v>
      </c>
      <c r="BI164" s="26">
        <f>F164*G164</f>
        <v>0</v>
      </c>
    </row>
    <row r="165" spans="4:7" ht="12">
      <c r="D165" s="39" t="s">
        <v>637</v>
      </c>
      <c r="G165" s="26"/>
    </row>
    <row r="166" spans="1:61" ht="12.75">
      <c r="A166" s="24" t="s">
        <v>144</v>
      </c>
      <c r="B166" s="25"/>
      <c r="C166" s="25" t="s">
        <v>392</v>
      </c>
      <c r="D166" s="25" t="s">
        <v>639</v>
      </c>
      <c r="E166" s="25" t="s">
        <v>753</v>
      </c>
      <c r="F166" s="26">
        <v>10</v>
      </c>
      <c r="G166" s="26">
        <f>'Smluvní ceník'!G166</f>
        <v>0</v>
      </c>
      <c r="H166" s="26">
        <f aca="true" t="shared" si="152" ref="H166:H173">F166*AN166</f>
        <v>0</v>
      </c>
      <c r="I166" s="26">
        <f aca="true" t="shared" si="153" ref="I166:I173">F166*AO166</f>
        <v>0</v>
      </c>
      <c r="J166" s="26">
        <f aca="true" t="shared" si="154" ref="J166:J173">F166*G166</f>
        <v>0</v>
      </c>
      <c r="K166" s="26">
        <v>0</v>
      </c>
      <c r="L166" s="26">
        <f aca="true" t="shared" si="155" ref="L166:L173">F166*K166</f>
        <v>0</v>
      </c>
      <c r="Y166" s="27">
        <f aca="true" t="shared" si="156" ref="Y166:Y173">IF(AP166="5",BI166,0)</f>
        <v>0</v>
      </c>
      <c r="AA166" s="27">
        <f aca="true" t="shared" si="157" ref="AA166:AA173">IF(AP166="1",BG166,0)</f>
        <v>0</v>
      </c>
      <c r="AB166" s="27">
        <f aca="true" t="shared" si="158" ref="AB166:AB173">IF(AP166="1",BH166,0)</f>
        <v>0</v>
      </c>
      <c r="AC166" s="27">
        <f aca="true" t="shared" si="159" ref="AC166:AC173">IF(AP166="7",BG166,0)</f>
        <v>0</v>
      </c>
      <c r="AD166" s="27">
        <f aca="true" t="shared" si="160" ref="AD166:AD173">IF(AP166="7",BH166,0)</f>
        <v>0</v>
      </c>
      <c r="AE166" s="27">
        <f aca="true" t="shared" si="161" ref="AE166:AE173">IF(AP166="2",BG166,0)</f>
        <v>0</v>
      </c>
      <c r="AF166" s="27">
        <f aca="true" t="shared" si="162" ref="AF166:AF173">IF(AP166="2",BH166,0)</f>
        <v>0</v>
      </c>
      <c r="AG166" s="27">
        <f aca="true" t="shared" si="163" ref="AG166:AG173">IF(AP166="0",BI166,0)</f>
        <v>0</v>
      </c>
      <c r="AH166" s="17"/>
      <c r="AI166" s="26">
        <f aca="true" t="shared" si="164" ref="AI166:AI173">IF(AM166=0,J166,0)</f>
        <v>0</v>
      </c>
      <c r="AJ166" s="26">
        <f aca="true" t="shared" si="165" ref="AJ166:AJ173">IF(AM166=15,J166,0)</f>
        <v>0</v>
      </c>
      <c r="AK166" s="26">
        <f aca="true" t="shared" si="166" ref="AK166:AK173">IF(AM166=21,J166,0)</f>
        <v>0</v>
      </c>
      <c r="AM166" s="27">
        <v>21</v>
      </c>
      <c r="AN166" s="27">
        <f aca="true" t="shared" si="167" ref="AN166:AN173">G166*0</f>
        <v>0</v>
      </c>
      <c r="AO166" s="27">
        <f aca="true" t="shared" si="168" ref="AO166:AO173">G166*(1-0)</f>
        <v>0</v>
      </c>
      <c r="AP166" s="28" t="s">
        <v>13</v>
      </c>
      <c r="AU166" s="27">
        <f aca="true" t="shared" si="169" ref="AU166:AU173">AV166+AW166</f>
        <v>0</v>
      </c>
      <c r="AV166" s="27">
        <f aca="true" t="shared" si="170" ref="AV166:AV173">F166*AN166</f>
        <v>0</v>
      </c>
      <c r="AW166" s="27">
        <f aca="true" t="shared" si="171" ref="AW166:AW173">F166*AO166</f>
        <v>0</v>
      </c>
      <c r="AX166" s="29" t="s">
        <v>786</v>
      </c>
      <c r="AY166" s="29" t="s">
        <v>793</v>
      </c>
      <c r="AZ166" s="17" t="s">
        <v>796</v>
      </c>
      <c r="BB166" s="27">
        <f aca="true" t="shared" si="172" ref="BB166:BB173">AV166+AW166</f>
        <v>0</v>
      </c>
      <c r="BC166" s="27">
        <f aca="true" t="shared" si="173" ref="BC166:BC173">G166/(100-BD166)*100</f>
        <v>0</v>
      </c>
      <c r="BD166" s="27">
        <v>0</v>
      </c>
      <c r="BE166" s="27">
        <f aca="true" t="shared" si="174" ref="BE166:BE173">L166</f>
        <v>0</v>
      </c>
      <c r="BG166" s="26">
        <f aca="true" t="shared" si="175" ref="BG166:BG173">F166*AN166</f>
        <v>0</v>
      </c>
      <c r="BH166" s="26">
        <f aca="true" t="shared" si="176" ref="BH166:BH173">F166*AO166</f>
        <v>0</v>
      </c>
      <c r="BI166" s="26">
        <f aca="true" t="shared" si="177" ref="BI166:BI173">F166*G166</f>
        <v>0</v>
      </c>
    </row>
    <row r="167" spans="1:61" ht="12.75">
      <c r="A167" s="24" t="s">
        <v>145</v>
      </c>
      <c r="B167" s="25"/>
      <c r="C167" s="25" t="s">
        <v>393</v>
      </c>
      <c r="D167" s="25" t="s">
        <v>640</v>
      </c>
      <c r="E167" s="25" t="s">
        <v>753</v>
      </c>
      <c r="F167" s="26">
        <v>5</v>
      </c>
      <c r="G167" s="26">
        <f>'Smluvní ceník'!G167</f>
        <v>0</v>
      </c>
      <c r="H167" s="26">
        <f t="shared" si="152"/>
        <v>0</v>
      </c>
      <c r="I167" s="26">
        <f t="shared" si="153"/>
        <v>0</v>
      </c>
      <c r="J167" s="26">
        <f t="shared" si="154"/>
        <v>0</v>
      </c>
      <c r="K167" s="26">
        <v>0</v>
      </c>
      <c r="L167" s="26">
        <f t="shared" si="155"/>
        <v>0</v>
      </c>
      <c r="Y167" s="27">
        <f t="shared" si="156"/>
        <v>0</v>
      </c>
      <c r="AA167" s="27">
        <f t="shared" si="157"/>
        <v>0</v>
      </c>
      <c r="AB167" s="27">
        <f t="shared" si="158"/>
        <v>0</v>
      </c>
      <c r="AC167" s="27">
        <f t="shared" si="159"/>
        <v>0</v>
      </c>
      <c r="AD167" s="27">
        <f t="shared" si="160"/>
        <v>0</v>
      </c>
      <c r="AE167" s="27">
        <f t="shared" si="161"/>
        <v>0</v>
      </c>
      <c r="AF167" s="27">
        <f t="shared" si="162"/>
        <v>0</v>
      </c>
      <c r="AG167" s="27">
        <f t="shared" si="163"/>
        <v>0</v>
      </c>
      <c r="AH167" s="17"/>
      <c r="AI167" s="26">
        <f t="shared" si="164"/>
        <v>0</v>
      </c>
      <c r="AJ167" s="26">
        <f t="shared" si="165"/>
        <v>0</v>
      </c>
      <c r="AK167" s="26">
        <f t="shared" si="166"/>
        <v>0</v>
      </c>
      <c r="AM167" s="27">
        <v>21</v>
      </c>
      <c r="AN167" s="27">
        <f t="shared" si="167"/>
        <v>0</v>
      </c>
      <c r="AO167" s="27">
        <f t="shared" si="168"/>
        <v>0</v>
      </c>
      <c r="AP167" s="28" t="s">
        <v>13</v>
      </c>
      <c r="AU167" s="27">
        <f t="shared" si="169"/>
        <v>0</v>
      </c>
      <c r="AV167" s="27">
        <f t="shared" si="170"/>
        <v>0</v>
      </c>
      <c r="AW167" s="27">
        <f t="shared" si="171"/>
        <v>0</v>
      </c>
      <c r="AX167" s="29" t="s">
        <v>786</v>
      </c>
      <c r="AY167" s="29" t="s">
        <v>793</v>
      </c>
      <c r="AZ167" s="17" t="s">
        <v>796</v>
      </c>
      <c r="BB167" s="27">
        <f t="shared" si="172"/>
        <v>0</v>
      </c>
      <c r="BC167" s="27">
        <f t="shared" si="173"/>
        <v>0</v>
      </c>
      <c r="BD167" s="27">
        <v>0</v>
      </c>
      <c r="BE167" s="27">
        <f t="shared" si="174"/>
        <v>0</v>
      </c>
      <c r="BG167" s="26">
        <f t="shared" si="175"/>
        <v>0</v>
      </c>
      <c r="BH167" s="26">
        <f t="shared" si="176"/>
        <v>0</v>
      </c>
      <c r="BI167" s="26">
        <f t="shared" si="177"/>
        <v>0</v>
      </c>
    </row>
    <row r="168" spans="1:61" ht="12.75">
      <c r="A168" s="24" t="s">
        <v>146</v>
      </c>
      <c r="B168" s="25"/>
      <c r="C168" s="25" t="s">
        <v>394</v>
      </c>
      <c r="D168" s="25" t="s">
        <v>641</v>
      </c>
      <c r="E168" s="25" t="s">
        <v>753</v>
      </c>
      <c r="F168" s="26">
        <v>5</v>
      </c>
      <c r="G168" s="26">
        <f>'Smluvní ceník'!G168</f>
        <v>0</v>
      </c>
      <c r="H168" s="26">
        <f t="shared" si="152"/>
        <v>0</v>
      </c>
      <c r="I168" s="26">
        <f t="shared" si="153"/>
        <v>0</v>
      </c>
      <c r="J168" s="26">
        <f t="shared" si="154"/>
        <v>0</v>
      </c>
      <c r="K168" s="26">
        <v>0</v>
      </c>
      <c r="L168" s="26">
        <f t="shared" si="155"/>
        <v>0</v>
      </c>
      <c r="Y168" s="27">
        <f t="shared" si="156"/>
        <v>0</v>
      </c>
      <c r="AA168" s="27">
        <f t="shared" si="157"/>
        <v>0</v>
      </c>
      <c r="AB168" s="27">
        <f t="shared" si="158"/>
        <v>0</v>
      </c>
      <c r="AC168" s="27">
        <f t="shared" si="159"/>
        <v>0</v>
      </c>
      <c r="AD168" s="27">
        <f t="shared" si="160"/>
        <v>0</v>
      </c>
      <c r="AE168" s="27">
        <f t="shared" si="161"/>
        <v>0</v>
      </c>
      <c r="AF168" s="27">
        <f t="shared" si="162"/>
        <v>0</v>
      </c>
      <c r="AG168" s="27">
        <f t="shared" si="163"/>
        <v>0</v>
      </c>
      <c r="AH168" s="17"/>
      <c r="AI168" s="26">
        <f t="shared" si="164"/>
        <v>0</v>
      </c>
      <c r="AJ168" s="26">
        <f t="shared" si="165"/>
        <v>0</v>
      </c>
      <c r="AK168" s="26">
        <f t="shared" si="166"/>
        <v>0</v>
      </c>
      <c r="AM168" s="27">
        <v>21</v>
      </c>
      <c r="AN168" s="27">
        <f t="shared" si="167"/>
        <v>0</v>
      </c>
      <c r="AO168" s="27">
        <f t="shared" si="168"/>
        <v>0</v>
      </c>
      <c r="AP168" s="28" t="s">
        <v>13</v>
      </c>
      <c r="AU168" s="27">
        <f t="shared" si="169"/>
        <v>0</v>
      </c>
      <c r="AV168" s="27">
        <f t="shared" si="170"/>
        <v>0</v>
      </c>
      <c r="AW168" s="27">
        <f t="shared" si="171"/>
        <v>0</v>
      </c>
      <c r="AX168" s="29" t="s">
        <v>786</v>
      </c>
      <c r="AY168" s="29" t="s">
        <v>793</v>
      </c>
      <c r="AZ168" s="17" t="s">
        <v>796</v>
      </c>
      <c r="BB168" s="27">
        <f t="shared" si="172"/>
        <v>0</v>
      </c>
      <c r="BC168" s="27">
        <f t="shared" si="173"/>
        <v>0</v>
      </c>
      <c r="BD168" s="27">
        <v>0</v>
      </c>
      <c r="BE168" s="27">
        <f t="shared" si="174"/>
        <v>0</v>
      </c>
      <c r="BG168" s="26">
        <f t="shared" si="175"/>
        <v>0</v>
      </c>
      <c r="BH168" s="26">
        <f t="shared" si="176"/>
        <v>0</v>
      </c>
      <c r="BI168" s="26">
        <f t="shared" si="177"/>
        <v>0</v>
      </c>
    </row>
    <row r="169" spans="1:61" ht="12.75" hidden="1">
      <c r="A169" s="24" t="s">
        <v>147</v>
      </c>
      <c r="B169" s="25"/>
      <c r="C169" s="25" t="s">
        <v>395</v>
      </c>
      <c r="D169" s="25" t="s">
        <v>642</v>
      </c>
      <c r="E169" s="25" t="s">
        <v>752</v>
      </c>
      <c r="F169" s="26">
        <v>0</v>
      </c>
      <c r="G169" s="26">
        <f>'Smluvní ceník'!G169</f>
        <v>0</v>
      </c>
      <c r="H169" s="26">
        <f t="shared" si="152"/>
        <v>0</v>
      </c>
      <c r="I169" s="26">
        <f t="shared" si="153"/>
        <v>0</v>
      </c>
      <c r="J169" s="26">
        <f t="shared" si="154"/>
        <v>0</v>
      </c>
      <c r="K169" s="26">
        <v>0</v>
      </c>
      <c r="L169" s="26">
        <f t="shared" si="155"/>
        <v>0</v>
      </c>
      <c r="Y169" s="27">
        <f t="shared" si="156"/>
        <v>0</v>
      </c>
      <c r="AA169" s="27">
        <f t="shared" si="157"/>
        <v>0</v>
      </c>
      <c r="AB169" s="27">
        <f t="shared" si="158"/>
        <v>0</v>
      </c>
      <c r="AC169" s="27">
        <f t="shared" si="159"/>
        <v>0</v>
      </c>
      <c r="AD169" s="27">
        <f t="shared" si="160"/>
        <v>0</v>
      </c>
      <c r="AE169" s="27">
        <f t="shared" si="161"/>
        <v>0</v>
      </c>
      <c r="AF169" s="27">
        <f t="shared" si="162"/>
        <v>0</v>
      </c>
      <c r="AG169" s="27">
        <f t="shared" si="163"/>
        <v>0</v>
      </c>
      <c r="AH169" s="17"/>
      <c r="AI169" s="26">
        <f t="shared" si="164"/>
        <v>0</v>
      </c>
      <c r="AJ169" s="26">
        <f t="shared" si="165"/>
        <v>0</v>
      </c>
      <c r="AK169" s="26">
        <f t="shared" si="166"/>
        <v>0</v>
      </c>
      <c r="AM169" s="27">
        <v>21</v>
      </c>
      <c r="AN169" s="27">
        <f t="shared" si="167"/>
        <v>0</v>
      </c>
      <c r="AO169" s="27">
        <f t="shared" si="168"/>
        <v>0</v>
      </c>
      <c r="AP169" s="28" t="s">
        <v>11</v>
      </c>
      <c r="AU169" s="27">
        <f t="shared" si="169"/>
        <v>0</v>
      </c>
      <c r="AV169" s="27">
        <f t="shared" si="170"/>
        <v>0</v>
      </c>
      <c r="AW169" s="27">
        <f t="shared" si="171"/>
        <v>0</v>
      </c>
      <c r="AX169" s="29" t="s">
        <v>786</v>
      </c>
      <c r="AY169" s="29" t="s">
        <v>793</v>
      </c>
      <c r="AZ169" s="17" t="s">
        <v>796</v>
      </c>
      <c r="BB169" s="27">
        <f t="shared" si="172"/>
        <v>0</v>
      </c>
      <c r="BC169" s="27">
        <f t="shared" si="173"/>
        <v>0</v>
      </c>
      <c r="BD169" s="27">
        <v>0</v>
      </c>
      <c r="BE169" s="27">
        <f t="shared" si="174"/>
        <v>0</v>
      </c>
      <c r="BG169" s="26">
        <f t="shared" si="175"/>
        <v>0</v>
      </c>
      <c r="BH169" s="26">
        <f t="shared" si="176"/>
        <v>0</v>
      </c>
      <c r="BI169" s="26">
        <f t="shared" si="177"/>
        <v>0</v>
      </c>
    </row>
    <row r="170" spans="1:61" ht="12.75">
      <c r="A170" s="24" t="s">
        <v>148</v>
      </c>
      <c r="B170" s="25"/>
      <c r="C170" s="25" t="s">
        <v>396</v>
      </c>
      <c r="D170" s="25" t="s">
        <v>643</v>
      </c>
      <c r="E170" s="25" t="s">
        <v>752</v>
      </c>
      <c r="F170" s="26">
        <f>SUM(J139:J168)/100</f>
        <v>0</v>
      </c>
      <c r="G170" s="26">
        <f>'Smluvní ceník'!G170</f>
        <v>0</v>
      </c>
      <c r="H170" s="26">
        <f t="shared" si="152"/>
        <v>0</v>
      </c>
      <c r="I170" s="26">
        <f t="shared" si="153"/>
        <v>0</v>
      </c>
      <c r="J170" s="26">
        <f t="shared" si="154"/>
        <v>0</v>
      </c>
      <c r="K170" s="26">
        <v>0</v>
      </c>
      <c r="L170" s="26">
        <f t="shared" si="155"/>
        <v>0</v>
      </c>
      <c r="Y170" s="27">
        <f t="shared" si="156"/>
        <v>0</v>
      </c>
      <c r="AA170" s="27">
        <f t="shared" si="157"/>
        <v>0</v>
      </c>
      <c r="AB170" s="27">
        <f t="shared" si="158"/>
        <v>0</v>
      </c>
      <c r="AC170" s="27">
        <f t="shared" si="159"/>
        <v>0</v>
      </c>
      <c r="AD170" s="27">
        <f t="shared" si="160"/>
        <v>0</v>
      </c>
      <c r="AE170" s="27">
        <f t="shared" si="161"/>
        <v>0</v>
      </c>
      <c r="AF170" s="27">
        <f t="shared" si="162"/>
        <v>0</v>
      </c>
      <c r="AG170" s="27">
        <f t="shared" si="163"/>
        <v>0</v>
      </c>
      <c r="AH170" s="17"/>
      <c r="AI170" s="26">
        <f t="shared" si="164"/>
        <v>0</v>
      </c>
      <c r="AJ170" s="26">
        <f t="shared" si="165"/>
        <v>0</v>
      </c>
      <c r="AK170" s="26">
        <f t="shared" si="166"/>
        <v>0</v>
      </c>
      <c r="AM170" s="27">
        <v>21</v>
      </c>
      <c r="AN170" s="27">
        <f t="shared" si="167"/>
        <v>0</v>
      </c>
      <c r="AO170" s="27">
        <f t="shared" si="168"/>
        <v>0</v>
      </c>
      <c r="AP170" s="28" t="s">
        <v>11</v>
      </c>
      <c r="AU170" s="27">
        <f t="shared" si="169"/>
        <v>0</v>
      </c>
      <c r="AV170" s="27">
        <f t="shared" si="170"/>
        <v>0</v>
      </c>
      <c r="AW170" s="27">
        <f t="shared" si="171"/>
        <v>0</v>
      </c>
      <c r="AX170" s="29" t="s">
        <v>786</v>
      </c>
      <c r="AY170" s="29" t="s">
        <v>793</v>
      </c>
      <c r="AZ170" s="17" t="s">
        <v>796</v>
      </c>
      <c r="BB170" s="27">
        <f t="shared" si="172"/>
        <v>0</v>
      </c>
      <c r="BC170" s="27">
        <f t="shared" si="173"/>
        <v>0</v>
      </c>
      <c r="BD170" s="27">
        <v>0</v>
      </c>
      <c r="BE170" s="27">
        <f t="shared" si="174"/>
        <v>0</v>
      </c>
      <c r="BG170" s="26">
        <f t="shared" si="175"/>
        <v>0</v>
      </c>
      <c r="BH170" s="26">
        <f t="shared" si="176"/>
        <v>0</v>
      </c>
      <c r="BI170" s="26">
        <f t="shared" si="177"/>
        <v>0</v>
      </c>
    </row>
    <row r="171" spans="1:61" ht="12.75" hidden="1">
      <c r="A171" s="24" t="s">
        <v>149</v>
      </c>
      <c r="B171" s="25"/>
      <c r="C171" s="25" t="s">
        <v>397</v>
      </c>
      <c r="D171" s="25" t="s">
        <v>644</v>
      </c>
      <c r="E171" s="25" t="s">
        <v>752</v>
      </c>
      <c r="F171" s="26">
        <v>0</v>
      </c>
      <c r="G171" s="26">
        <f>'Smluvní ceník'!G171</f>
        <v>0</v>
      </c>
      <c r="H171" s="26">
        <f t="shared" si="152"/>
        <v>0</v>
      </c>
      <c r="I171" s="26">
        <f t="shared" si="153"/>
        <v>0</v>
      </c>
      <c r="J171" s="26">
        <f t="shared" si="154"/>
        <v>0</v>
      </c>
      <c r="K171" s="26">
        <v>0</v>
      </c>
      <c r="L171" s="26">
        <f t="shared" si="155"/>
        <v>0</v>
      </c>
      <c r="Y171" s="27">
        <f t="shared" si="156"/>
        <v>0</v>
      </c>
      <c r="AA171" s="27">
        <f t="shared" si="157"/>
        <v>0</v>
      </c>
      <c r="AB171" s="27">
        <f t="shared" si="158"/>
        <v>0</v>
      </c>
      <c r="AC171" s="27">
        <f t="shared" si="159"/>
        <v>0</v>
      </c>
      <c r="AD171" s="27">
        <f t="shared" si="160"/>
        <v>0</v>
      </c>
      <c r="AE171" s="27">
        <f t="shared" si="161"/>
        <v>0</v>
      </c>
      <c r="AF171" s="27">
        <f t="shared" si="162"/>
        <v>0</v>
      </c>
      <c r="AG171" s="27">
        <f t="shared" si="163"/>
        <v>0</v>
      </c>
      <c r="AH171" s="17"/>
      <c r="AI171" s="26">
        <f t="shared" si="164"/>
        <v>0</v>
      </c>
      <c r="AJ171" s="26">
        <f t="shared" si="165"/>
        <v>0</v>
      </c>
      <c r="AK171" s="26">
        <f t="shared" si="166"/>
        <v>0</v>
      </c>
      <c r="AM171" s="27">
        <v>21</v>
      </c>
      <c r="AN171" s="27">
        <f t="shared" si="167"/>
        <v>0</v>
      </c>
      <c r="AO171" s="27">
        <f t="shared" si="168"/>
        <v>0</v>
      </c>
      <c r="AP171" s="28" t="s">
        <v>11</v>
      </c>
      <c r="AU171" s="27">
        <f t="shared" si="169"/>
        <v>0</v>
      </c>
      <c r="AV171" s="27">
        <f t="shared" si="170"/>
        <v>0</v>
      </c>
      <c r="AW171" s="27">
        <f t="shared" si="171"/>
        <v>0</v>
      </c>
      <c r="AX171" s="29" t="s">
        <v>786</v>
      </c>
      <c r="AY171" s="29" t="s">
        <v>793</v>
      </c>
      <c r="AZ171" s="17" t="s">
        <v>796</v>
      </c>
      <c r="BB171" s="27">
        <f t="shared" si="172"/>
        <v>0</v>
      </c>
      <c r="BC171" s="27">
        <f t="shared" si="173"/>
        <v>0</v>
      </c>
      <c r="BD171" s="27">
        <v>0</v>
      </c>
      <c r="BE171" s="27">
        <f t="shared" si="174"/>
        <v>0</v>
      </c>
      <c r="BG171" s="26">
        <f t="shared" si="175"/>
        <v>0</v>
      </c>
      <c r="BH171" s="26">
        <f t="shared" si="176"/>
        <v>0</v>
      </c>
      <c r="BI171" s="26">
        <f t="shared" si="177"/>
        <v>0</v>
      </c>
    </row>
    <row r="172" spans="1:61" ht="12.75" hidden="1">
      <c r="A172" s="24" t="s">
        <v>150</v>
      </c>
      <c r="B172" s="25"/>
      <c r="C172" s="25" t="s">
        <v>398</v>
      </c>
      <c r="D172" s="25" t="s">
        <v>645</v>
      </c>
      <c r="E172" s="25" t="s">
        <v>752</v>
      </c>
      <c r="F172" s="26">
        <v>0</v>
      </c>
      <c r="G172" s="26">
        <f>'Smluvní ceník'!G172</f>
        <v>0</v>
      </c>
      <c r="H172" s="26">
        <f t="shared" si="152"/>
        <v>0</v>
      </c>
      <c r="I172" s="26">
        <f t="shared" si="153"/>
        <v>0</v>
      </c>
      <c r="J172" s="26">
        <f t="shared" si="154"/>
        <v>0</v>
      </c>
      <c r="K172" s="26">
        <v>0</v>
      </c>
      <c r="L172" s="26">
        <f t="shared" si="155"/>
        <v>0</v>
      </c>
      <c r="Y172" s="27">
        <f t="shared" si="156"/>
        <v>0</v>
      </c>
      <c r="AA172" s="27">
        <f t="shared" si="157"/>
        <v>0</v>
      </c>
      <c r="AB172" s="27">
        <f t="shared" si="158"/>
        <v>0</v>
      </c>
      <c r="AC172" s="27">
        <f t="shared" si="159"/>
        <v>0</v>
      </c>
      <c r="AD172" s="27">
        <f t="shared" si="160"/>
        <v>0</v>
      </c>
      <c r="AE172" s="27">
        <f t="shared" si="161"/>
        <v>0</v>
      </c>
      <c r="AF172" s="27">
        <f t="shared" si="162"/>
        <v>0</v>
      </c>
      <c r="AG172" s="27">
        <f t="shared" si="163"/>
        <v>0</v>
      </c>
      <c r="AH172" s="17"/>
      <c r="AI172" s="26">
        <f t="shared" si="164"/>
        <v>0</v>
      </c>
      <c r="AJ172" s="26">
        <f t="shared" si="165"/>
        <v>0</v>
      </c>
      <c r="AK172" s="26">
        <f t="shared" si="166"/>
        <v>0</v>
      </c>
      <c r="AM172" s="27">
        <v>21</v>
      </c>
      <c r="AN172" s="27">
        <f t="shared" si="167"/>
        <v>0</v>
      </c>
      <c r="AO172" s="27">
        <f t="shared" si="168"/>
        <v>0</v>
      </c>
      <c r="AP172" s="28" t="s">
        <v>11</v>
      </c>
      <c r="AU172" s="27">
        <f t="shared" si="169"/>
        <v>0</v>
      </c>
      <c r="AV172" s="27">
        <f t="shared" si="170"/>
        <v>0</v>
      </c>
      <c r="AW172" s="27">
        <f t="shared" si="171"/>
        <v>0</v>
      </c>
      <c r="AX172" s="29" t="s">
        <v>786</v>
      </c>
      <c r="AY172" s="29" t="s">
        <v>793</v>
      </c>
      <c r="AZ172" s="17" t="s">
        <v>796</v>
      </c>
      <c r="BB172" s="27">
        <f t="shared" si="172"/>
        <v>0</v>
      </c>
      <c r="BC172" s="27">
        <f t="shared" si="173"/>
        <v>0</v>
      </c>
      <c r="BD172" s="27">
        <v>0</v>
      </c>
      <c r="BE172" s="27">
        <f t="shared" si="174"/>
        <v>0</v>
      </c>
      <c r="BG172" s="26">
        <f t="shared" si="175"/>
        <v>0</v>
      </c>
      <c r="BH172" s="26">
        <f t="shared" si="176"/>
        <v>0</v>
      </c>
      <c r="BI172" s="26">
        <f t="shared" si="177"/>
        <v>0</v>
      </c>
    </row>
    <row r="173" spans="1:61" ht="12.75">
      <c r="A173" s="24" t="s">
        <v>151</v>
      </c>
      <c r="B173" s="25"/>
      <c r="C173" s="25" t="s">
        <v>399</v>
      </c>
      <c r="D173" s="25" t="s">
        <v>646</v>
      </c>
      <c r="E173" s="25" t="s">
        <v>752</v>
      </c>
      <c r="F173" s="26">
        <f>F170</f>
        <v>0</v>
      </c>
      <c r="G173" s="26">
        <f>'Smluvní ceník'!G173</f>
        <v>0</v>
      </c>
      <c r="H173" s="26">
        <f t="shared" si="152"/>
        <v>0</v>
      </c>
      <c r="I173" s="26">
        <f t="shared" si="153"/>
        <v>0</v>
      </c>
      <c r="J173" s="26">
        <f t="shared" si="154"/>
        <v>0</v>
      </c>
      <c r="K173" s="26">
        <v>0</v>
      </c>
      <c r="L173" s="26">
        <f t="shared" si="155"/>
        <v>0</v>
      </c>
      <c r="Y173" s="27">
        <f t="shared" si="156"/>
        <v>0</v>
      </c>
      <c r="AA173" s="27">
        <f t="shared" si="157"/>
        <v>0</v>
      </c>
      <c r="AB173" s="27">
        <f t="shared" si="158"/>
        <v>0</v>
      </c>
      <c r="AC173" s="27">
        <f t="shared" si="159"/>
        <v>0</v>
      </c>
      <c r="AD173" s="27">
        <f t="shared" si="160"/>
        <v>0</v>
      </c>
      <c r="AE173" s="27">
        <f t="shared" si="161"/>
        <v>0</v>
      </c>
      <c r="AF173" s="27">
        <f t="shared" si="162"/>
        <v>0</v>
      </c>
      <c r="AG173" s="27">
        <f t="shared" si="163"/>
        <v>0</v>
      </c>
      <c r="AH173" s="17"/>
      <c r="AI173" s="26">
        <f t="shared" si="164"/>
        <v>0</v>
      </c>
      <c r="AJ173" s="26">
        <f t="shared" si="165"/>
        <v>0</v>
      </c>
      <c r="AK173" s="26">
        <f t="shared" si="166"/>
        <v>0</v>
      </c>
      <c r="AM173" s="27">
        <v>21</v>
      </c>
      <c r="AN173" s="27">
        <f t="shared" si="167"/>
        <v>0</v>
      </c>
      <c r="AO173" s="27">
        <f t="shared" si="168"/>
        <v>0</v>
      </c>
      <c r="AP173" s="28" t="s">
        <v>11</v>
      </c>
      <c r="AU173" s="27">
        <f t="shared" si="169"/>
        <v>0</v>
      </c>
      <c r="AV173" s="27">
        <f t="shared" si="170"/>
        <v>0</v>
      </c>
      <c r="AW173" s="27">
        <f t="shared" si="171"/>
        <v>0</v>
      </c>
      <c r="AX173" s="29" t="s">
        <v>786</v>
      </c>
      <c r="AY173" s="29" t="s">
        <v>793</v>
      </c>
      <c r="AZ173" s="17" t="s">
        <v>796</v>
      </c>
      <c r="BB173" s="27">
        <f t="shared" si="172"/>
        <v>0</v>
      </c>
      <c r="BC173" s="27">
        <f t="shared" si="173"/>
        <v>0</v>
      </c>
      <c r="BD173" s="27">
        <v>0</v>
      </c>
      <c r="BE173" s="27">
        <f t="shared" si="174"/>
        <v>0</v>
      </c>
      <c r="BG173" s="26">
        <f t="shared" si="175"/>
        <v>0</v>
      </c>
      <c r="BH173" s="26">
        <f t="shared" si="176"/>
        <v>0</v>
      </c>
      <c r="BI173" s="26">
        <f t="shared" si="177"/>
        <v>0</v>
      </c>
    </row>
    <row r="174" spans="1:46" ht="12.75">
      <c r="A174" s="30"/>
      <c r="B174" s="31"/>
      <c r="C174" s="31" t="s">
        <v>400</v>
      </c>
      <c r="D174" s="31" t="s">
        <v>647</v>
      </c>
      <c r="E174" s="32" t="s">
        <v>6</v>
      </c>
      <c r="F174" s="32" t="s">
        <v>6</v>
      </c>
      <c r="G174" s="32" t="str">
        <f>'Smluvní ceník'!G174</f>
        <v> </v>
      </c>
      <c r="H174" s="23">
        <f>SUM(H175:H240)</f>
        <v>0</v>
      </c>
      <c r="I174" s="23">
        <f>SUM(I175:I240)</f>
        <v>0</v>
      </c>
      <c r="J174" s="23">
        <f>SUM(J175:J240)</f>
        <v>0</v>
      </c>
      <c r="K174" s="17"/>
      <c r="L174" s="23">
        <f>SUM(L175:L240)</f>
        <v>0.18370000000000003</v>
      </c>
      <c r="AH174" s="17"/>
      <c r="AR174" s="23">
        <f>SUM(AI175:AI240)</f>
        <v>0</v>
      </c>
      <c r="AS174" s="23">
        <f>SUM(AJ175:AJ240)</f>
        <v>0</v>
      </c>
      <c r="AT174" s="23">
        <f>SUM(AK175:AK240)</f>
        <v>0</v>
      </c>
    </row>
    <row r="175" spans="1:61" ht="12.75">
      <c r="A175" s="24" t="s">
        <v>152</v>
      </c>
      <c r="B175" s="25"/>
      <c r="C175" s="25" t="s">
        <v>401</v>
      </c>
      <c r="D175" s="25" t="s">
        <v>648</v>
      </c>
      <c r="E175" s="25" t="s">
        <v>750</v>
      </c>
      <c r="F175" s="47">
        <v>150</v>
      </c>
      <c r="G175" s="26">
        <f>'Smluvní ceník'!G175</f>
        <v>0</v>
      </c>
      <c r="H175" s="26">
        <f>F175*AN175</f>
        <v>0</v>
      </c>
      <c r="I175" s="26">
        <f>F175*AO175</f>
        <v>0</v>
      </c>
      <c r="J175" s="26">
        <f>F175*G175</f>
        <v>0</v>
      </c>
      <c r="K175" s="26">
        <v>0.0002</v>
      </c>
      <c r="L175" s="26">
        <f>F175*K175</f>
        <v>0.030000000000000002</v>
      </c>
      <c r="Y175" s="27">
        <f>IF(AP175="5",BI175,0)</f>
        <v>0</v>
      </c>
      <c r="AA175" s="27">
        <f>IF(AP175="1",BG175,0)</f>
        <v>0</v>
      </c>
      <c r="AB175" s="27">
        <f>IF(AP175="1",BH175,0)</f>
        <v>0</v>
      </c>
      <c r="AC175" s="27">
        <f>IF(AP175="7",BG175,0)</f>
        <v>0</v>
      </c>
      <c r="AD175" s="27">
        <f>IF(AP175="7",BH175,0)</f>
        <v>0</v>
      </c>
      <c r="AE175" s="27">
        <f>IF(AP175="2",BG175,0)</f>
        <v>0</v>
      </c>
      <c r="AF175" s="27">
        <f>IF(AP175="2",BH175,0)</f>
        <v>0</v>
      </c>
      <c r="AG175" s="27">
        <f>IF(AP175="0",BI175,0)</f>
        <v>0</v>
      </c>
      <c r="AH175" s="17"/>
      <c r="AI175" s="26">
        <f>IF(AM175=0,J175,0)</f>
        <v>0</v>
      </c>
      <c r="AJ175" s="26">
        <f>IF(AM175=15,J175,0)</f>
        <v>0</v>
      </c>
      <c r="AK175" s="26">
        <f>IF(AM175=21,J175,0)</f>
        <v>0</v>
      </c>
      <c r="AM175" s="27">
        <v>21</v>
      </c>
      <c r="AN175" s="27">
        <f>G175*0.377771428571429</f>
        <v>0</v>
      </c>
      <c r="AO175" s="27">
        <f>G175*(1-0.377771428571429)</f>
        <v>0</v>
      </c>
      <c r="AP175" s="28" t="s">
        <v>13</v>
      </c>
      <c r="AU175" s="27">
        <f>AV175+AW175</f>
        <v>0</v>
      </c>
      <c r="AV175" s="27">
        <f>F175*AN175</f>
        <v>0</v>
      </c>
      <c r="AW175" s="27">
        <f>F175*AO175</f>
        <v>0</v>
      </c>
      <c r="AX175" s="29" t="s">
        <v>787</v>
      </c>
      <c r="AY175" s="29" t="s">
        <v>794</v>
      </c>
      <c r="AZ175" s="17" t="s">
        <v>796</v>
      </c>
      <c r="BB175" s="27">
        <f>AV175+AW175</f>
        <v>0</v>
      </c>
      <c r="BC175" s="27">
        <f>G175/(100-BD175)*100</f>
        <v>0</v>
      </c>
      <c r="BD175" s="27">
        <v>0</v>
      </c>
      <c r="BE175" s="27">
        <f>L175</f>
        <v>0.030000000000000002</v>
      </c>
      <c r="BG175" s="26">
        <f>F175*AN175</f>
        <v>0</v>
      </c>
      <c r="BH175" s="26">
        <f>F175*AO175</f>
        <v>0</v>
      </c>
      <c r="BI175" s="26">
        <f>F175*G175</f>
        <v>0</v>
      </c>
    </row>
    <row r="176" spans="1:61" ht="12.75">
      <c r="A176" s="24" t="s">
        <v>153</v>
      </c>
      <c r="B176" s="25"/>
      <c r="C176" s="25" t="s">
        <v>402</v>
      </c>
      <c r="D176" s="25" t="s">
        <v>649</v>
      </c>
      <c r="E176" s="25" t="s">
        <v>750</v>
      </c>
      <c r="F176" s="47">
        <v>80</v>
      </c>
      <c r="G176" s="26">
        <f>'Smluvní ceník'!G176</f>
        <v>0</v>
      </c>
      <c r="H176" s="26">
        <f>F176*AN176</f>
        <v>0</v>
      </c>
      <c r="I176" s="26">
        <f>F176*AO176</f>
        <v>0</v>
      </c>
      <c r="J176" s="26">
        <f>F176*G176</f>
        <v>0</v>
      </c>
      <c r="K176" s="26">
        <v>0.00027</v>
      </c>
      <c r="L176" s="26">
        <f>F176*K176</f>
        <v>0.0216</v>
      </c>
      <c r="Y176" s="27">
        <f>IF(AP176="5",BI176,0)</f>
        <v>0</v>
      </c>
      <c r="AA176" s="27">
        <f>IF(AP176="1",BG176,0)</f>
        <v>0</v>
      </c>
      <c r="AB176" s="27">
        <f>IF(AP176="1",BH176,0)</f>
        <v>0</v>
      </c>
      <c r="AC176" s="27">
        <f>IF(AP176="7",BG176,0)</f>
        <v>0</v>
      </c>
      <c r="AD176" s="27">
        <f>IF(AP176="7",BH176,0)</f>
        <v>0</v>
      </c>
      <c r="AE176" s="27">
        <f>IF(AP176="2",BG176,0)</f>
        <v>0</v>
      </c>
      <c r="AF176" s="27">
        <f>IF(AP176="2",BH176,0)</f>
        <v>0</v>
      </c>
      <c r="AG176" s="27">
        <f>IF(AP176="0",BI176,0)</f>
        <v>0</v>
      </c>
      <c r="AH176" s="17"/>
      <c r="AI176" s="26">
        <f>IF(AM176=0,J176,0)</f>
        <v>0</v>
      </c>
      <c r="AJ176" s="26">
        <f>IF(AM176=15,J176,0)</f>
        <v>0</v>
      </c>
      <c r="AK176" s="26">
        <f>IF(AM176=21,J176,0)</f>
        <v>0</v>
      </c>
      <c r="AM176" s="27">
        <v>21</v>
      </c>
      <c r="AN176" s="27">
        <f>G176*0.199972222222222</f>
        <v>0</v>
      </c>
      <c r="AO176" s="27">
        <f>G176*(1-0.199972222222222)</f>
        <v>0</v>
      </c>
      <c r="AP176" s="28" t="s">
        <v>13</v>
      </c>
      <c r="AU176" s="27">
        <f>AV176+AW176</f>
        <v>0</v>
      </c>
      <c r="AV176" s="27">
        <f>F176*AN176</f>
        <v>0</v>
      </c>
      <c r="AW176" s="27">
        <f>F176*AO176</f>
        <v>0</v>
      </c>
      <c r="AX176" s="29" t="s">
        <v>787</v>
      </c>
      <c r="AY176" s="29" t="s">
        <v>794</v>
      </c>
      <c r="AZ176" s="17" t="s">
        <v>796</v>
      </c>
      <c r="BB176" s="27">
        <f>AV176+AW176</f>
        <v>0</v>
      </c>
      <c r="BC176" s="27">
        <f>G176/(100-BD176)*100</f>
        <v>0</v>
      </c>
      <c r="BD176" s="27">
        <v>0</v>
      </c>
      <c r="BE176" s="27">
        <f>L176</f>
        <v>0.0216</v>
      </c>
      <c r="BG176" s="26">
        <f>F176*AN176</f>
        <v>0</v>
      </c>
      <c r="BH176" s="26">
        <f>F176*AO176</f>
        <v>0</v>
      </c>
      <c r="BI176" s="26">
        <f>F176*G176</f>
        <v>0</v>
      </c>
    </row>
    <row r="177" spans="4:7" ht="12">
      <c r="D177" s="39" t="s">
        <v>650</v>
      </c>
      <c r="F177" s="49"/>
      <c r="G177" s="26"/>
    </row>
    <row r="178" spans="1:61" ht="12.75">
      <c r="A178" s="24" t="s">
        <v>154</v>
      </c>
      <c r="B178" s="25"/>
      <c r="C178" s="25" t="s">
        <v>403</v>
      </c>
      <c r="D178" s="25" t="s">
        <v>651</v>
      </c>
      <c r="E178" s="25" t="s">
        <v>750</v>
      </c>
      <c r="F178" s="47">
        <v>150</v>
      </c>
      <c r="G178" s="26">
        <f>'Smluvní ceník'!G178</f>
        <v>0</v>
      </c>
      <c r="H178" s="26">
        <f>F178*AN178</f>
        <v>0</v>
      </c>
      <c r="I178" s="26">
        <f>F178*AO178</f>
        <v>0</v>
      </c>
      <c r="J178" s="26">
        <f>F178*G178</f>
        <v>0</v>
      </c>
      <c r="K178" s="26">
        <v>0.00027</v>
      </c>
      <c r="L178" s="26">
        <f>F178*K178</f>
        <v>0.0405</v>
      </c>
      <c r="Y178" s="27">
        <f>IF(AP178="5",BI178,0)</f>
        <v>0</v>
      </c>
      <c r="AA178" s="27">
        <f>IF(AP178="1",BG178,0)</f>
        <v>0</v>
      </c>
      <c r="AB178" s="27">
        <f>IF(AP178="1",BH178,0)</f>
        <v>0</v>
      </c>
      <c r="AC178" s="27">
        <f>IF(AP178="7",BG178,0)</f>
        <v>0</v>
      </c>
      <c r="AD178" s="27">
        <f>IF(AP178="7",BH178,0)</f>
        <v>0</v>
      </c>
      <c r="AE178" s="27">
        <f>IF(AP178="2",BG178,0)</f>
        <v>0</v>
      </c>
      <c r="AF178" s="27">
        <f>IF(AP178="2",BH178,0)</f>
        <v>0</v>
      </c>
      <c r="AG178" s="27">
        <f>IF(AP178="0",BI178,0)</f>
        <v>0</v>
      </c>
      <c r="AH178" s="17"/>
      <c r="AI178" s="26">
        <f>IF(AM178=0,J178,0)</f>
        <v>0</v>
      </c>
      <c r="AJ178" s="26">
        <f>IF(AM178=15,J178,0)</f>
        <v>0</v>
      </c>
      <c r="AK178" s="26">
        <f>IF(AM178=21,J178,0)</f>
        <v>0</v>
      </c>
      <c r="AM178" s="27">
        <v>21</v>
      </c>
      <c r="AN178" s="27">
        <f>G178*0.199972222222222</f>
        <v>0</v>
      </c>
      <c r="AO178" s="27">
        <f>G178*(1-0.199972222222222)</f>
        <v>0</v>
      </c>
      <c r="AP178" s="28" t="s">
        <v>13</v>
      </c>
      <c r="AU178" s="27">
        <f>AV178+AW178</f>
        <v>0</v>
      </c>
      <c r="AV178" s="27">
        <f>F178*AN178</f>
        <v>0</v>
      </c>
      <c r="AW178" s="27">
        <f>F178*AO178</f>
        <v>0</v>
      </c>
      <c r="AX178" s="29" t="s">
        <v>787</v>
      </c>
      <c r="AY178" s="29" t="s">
        <v>794</v>
      </c>
      <c r="AZ178" s="17" t="s">
        <v>796</v>
      </c>
      <c r="BB178" s="27">
        <f>AV178+AW178</f>
        <v>0</v>
      </c>
      <c r="BC178" s="27">
        <f>G178/(100-BD178)*100</f>
        <v>0</v>
      </c>
      <c r="BD178" s="27">
        <v>0</v>
      </c>
      <c r="BE178" s="27">
        <f>L178</f>
        <v>0.0405</v>
      </c>
      <c r="BG178" s="26">
        <f>F178*AN178</f>
        <v>0</v>
      </c>
      <c r="BH178" s="26">
        <f>F178*AO178</f>
        <v>0</v>
      </c>
      <c r="BI178" s="26">
        <f>F178*G178</f>
        <v>0</v>
      </c>
    </row>
    <row r="179" spans="4:7" ht="12">
      <c r="D179" s="39" t="s">
        <v>652</v>
      </c>
      <c r="F179" s="49"/>
      <c r="G179" s="26"/>
    </row>
    <row r="180" spans="1:61" ht="12.75">
      <c r="A180" s="24" t="s">
        <v>155</v>
      </c>
      <c r="B180" s="25"/>
      <c r="C180" s="25" t="s">
        <v>404</v>
      </c>
      <c r="D180" s="25" t="s">
        <v>653</v>
      </c>
      <c r="E180" s="25" t="s">
        <v>750</v>
      </c>
      <c r="F180" s="47">
        <v>150</v>
      </c>
      <c r="G180" s="26">
        <f>'Smluvní ceník'!G180</f>
        <v>0</v>
      </c>
      <c r="H180" s="26">
        <f aca="true" t="shared" si="178" ref="H180:H192">F180*AN180</f>
        <v>0</v>
      </c>
      <c r="I180" s="26">
        <f aca="true" t="shared" si="179" ref="I180:I192">F180*AO180</f>
        <v>0</v>
      </c>
      <c r="J180" s="26">
        <f aca="true" t="shared" si="180" ref="J180:J192">F180*G180</f>
        <v>0</v>
      </c>
      <c r="K180" s="26">
        <v>6E-05</v>
      </c>
      <c r="L180" s="26">
        <f aca="true" t="shared" si="181" ref="L180:L192">F180*K180</f>
        <v>0.009000000000000001</v>
      </c>
      <c r="Y180" s="27">
        <f aca="true" t="shared" si="182" ref="Y180:Y192">IF(AP180="5",BI180,0)</f>
        <v>0</v>
      </c>
      <c r="AA180" s="27">
        <f aca="true" t="shared" si="183" ref="AA180:AA192">IF(AP180="1",BG180,0)</f>
        <v>0</v>
      </c>
      <c r="AB180" s="27">
        <f aca="true" t="shared" si="184" ref="AB180:AB192">IF(AP180="1",BH180,0)</f>
        <v>0</v>
      </c>
      <c r="AC180" s="27">
        <f aca="true" t="shared" si="185" ref="AC180:AC192">IF(AP180="7",BG180,0)</f>
        <v>0</v>
      </c>
      <c r="AD180" s="27">
        <f aca="true" t="shared" si="186" ref="AD180:AD192">IF(AP180="7",BH180,0)</f>
        <v>0</v>
      </c>
      <c r="AE180" s="27">
        <f aca="true" t="shared" si="187" ref="AE180:AE192">IF(AP180="2",BG180,0)</f>
        <v>0</v>
      </c>
      <c r="AF180" s="27">
        <f aca="true" t="shared" si="188" ref="AF180:AF192">IF(AP180="2",BH180,0)</f>
        <v>0</v>
      </c>
      <c r="AG180" s="27">
        <f aca="true" t="shared" si="189" ref="AG180:AG192">IF(AP180="0",BI180,0)</f>
        <v>0</v>
      </c>
      <c r="AH180" s="17"/>
      <c r="AI180" s="26">
        <f aca="true" t="shared" si="190" ref="AI180:AI192">IF(AM180=0,J180,0)</f>
        <v>0</v>
      </c>
      <c r="AJ180" s="26">
        <f aca="true" t="shared" si="191" ref="AJ180:AJ192">IF(AM180=15,J180,0)</f>
        <v>0</v>
      </c>
      <c r="AK180" s="26">
        <f aca="true" t="shared" si="192" ref="AK180:AK192">IF(AM180=21,J180,0)</f>
        <v>0</v>
      </c>
      <c r="AM180" s="27">
        <v>21</v>
      </c>
      <c r="AN180" s="27">
        <f>G180*0.0562189054726368</f>
        <v>0</v>
      </c>
      <c r="AO180" s="27">
        <f>G180*(1-0.0562189054726368)</f>
        <v>0</v>
      </c>
      <c r="AP180" s="28" t="s">
        <v>13</v>
      </c>
      <c r="AU180" s="27">
        <f aca="true" t="shared" si="193" ref="AU180:AU192">AV180+AW180</f>
        <v>0</v>
      </c>
      <c r="AV180" s="27">
        <f aca="true" t="shared" si="194" ref="AV180:AV192">F180*AN180</f>
        <v>0</v>
      </c>
      <c r="AW180" s="27">
        <f aca="true" t="shared" si="195" ref="AW180:AW192">F180*AO180</f>
        <v>0</v>
      </c>
      <c r="AX180" s="29" t="s">
        <v>787</v>
      </c>
      <c r="AY180" s="29" t="s">
        <v>794</v>
      </c>
      <c r="AZ180" s="17" t="s">
        <v>796</v>
      </c>
      <c r="BB180" s="27">
        <f aca="true" t="shared" si="196" ref="BB180:BB192">AV180+AW180</f>
        <v>0</v>
      </c>
      <c r="BC180" s="27">
        <f aca="true" t="shared" si="197" ref="BC180:BC192">G180/(100-BD180)*100</f>
        <v>0</v>
      </c>
      <c r="BD180" s="27">
        <v>0</v>
      </c>
      <c r="BE180" s="27">
        <f aca="true" t="shared" si="198" ref="BE180:BE192">L180</f>
        <v>0.009000000000000001</v>
      </c>
      <c r="BG180" s="26">
        <f aca="true" t="shared" si="199" ref="BG180:BG192">F180*AN180</f>
        <v>0</v>
      </c>
      <c r="BH180" s="26">
        <f aca="true" t="shared" si="200" ref="BH180:BH192">F180*AO180</f>
        <v>0</v>
      </c>
      <c r="BI180" s="26">
        <f aca="true" t="shared" si="201" ref="BI180:BI192">F180*G180</f>
        <v>0</v>
      </c>
    </row>
    <row r="181" spans="1:61" ht="12.75" hidden="1">
      <c r="A181" s="24" t="s">
        <v>156</v>
      </c>
      <c r="B181" s="25"/>
      <c r="C181" s="25" t="s">
        <v>405</v>
      </c>
      <c r="D181" s="25" t="s">
        <v>654</v>
      </c>
      <c r="E181" s="25" t="s">
        <v>750</v>
      </c>
      <c r="F181" s="47">
        <v>0</v>
      </c>
      <c r="G181" s="26">
        <f>'Smluvní ceník'!G181</f>
        <v>0</v>
      </c>
      <c r="H181" s="26">
        <f t="shared" si="178"/>
        <v>0</v>
      </c>
      <c r="I181" s="26">
        <f t="shared" si="179"/>
        <v>0</v>
      </c>
      <c r="J181" s="26">
        <f t="shared" si="180"/>
        <v>0</v>
      </c>
      <c r="K181" s="26">
        <v>0.00022</v>
      </c>
      <c r="L181" s="26">
        <f t="shared" si="181"/>
        <v>0</v>
      </c>
      <c r="Y181" s="27">
        <f t="shared" si="182"/>
        <v>0</v>
      </c>
      <c r="AA181" s="27">
        <f t="shared" si="183"/>
        <v>0</v>
      </c>
      <c r="AB181" s="27">
        <f t="shared" si="184"/>
        <v>0</v>
      </c>
      <c r="AC181" s="27">
        <f t="shared" si="185"/>
        <v>0</v>
      </c>
      <c r="AD181" s="27">
        <f t="shared" si="186"/>
        <v>0</v>
      </c>
      <c r="AE181" s="27">
        <f t="shared" si="187"/>
        <v>0</v>
      </c>
      <c r="AF181" s="27">
        <f t="shared" si="188"/>
        <v>0</v>
      </c>
      <c r="AG181" s="27">
        <f t="shared" si="189"/>
        <v>0</v>
      </c>
      <c r="AH181" s="17"/>
      <c r="AI181" s="26">
        <f t="shared" si="190"/>
        <v>0</v>
      </c>
      <c r="AJ181" s="26">
        <f t="shared" si="191"/>
        <v>0</v>
      </c>
      <c r="AK181" s="26">
        <f t="shared" si="192"/>
        <v>0</v>
      </c>
      <c r="AM181" s="27">
        <v>21</v>
      </c>
      <c r="AN181" s="27">
        <f>G181*0.563941018766756</f>
        <v>0</v>
      </c>
      <c r="AO181" s="27">
        <f>G181*(1-0.563941018766756)</f>
        <v>0</v>
      </c>
      <c r="AP181" s="28" t="s">
        <v>13</v>
      </c>
      <c r="AU181" s="27">
        <f t="shared" si="193"/>
        <v>0</v>
      </c>
      <c r="AV181" s="27">
        <f t="shared" si="194"/>
        <v>0</v>
      </c>
      <c r="AW181" s="27">
        <f t="shared" si="195"/>
        <v>0</v>
      </c>
      <c r="AX181" s="29" t="s">
        <v>787</v>
      </c>
      <c r="AY181" s="29" t="s">
        <v>794</v>
      </c>
      <c r="AZ181" s="17" t="s">
        <v>796</v>
      </c>
      <c r="BB181" s="27">
        <f t="shared" si="196"/>
        <v>0</v>
      </c>
      <c r="BC181" s="27">
        <f t="shared" si="197"/>
        <v>0</v>
      </c>
      <c r="BD181" s="27">
        <v>0</v>
      </c>
      <c r="BE181" s="27">
        <f t="shared" si="198"/>
        <v>0</v>
      </c>
      <c r="BG181" s="26">
        <f t="shared" si="199"/>
        <v>0</v>
      </c>
      <c r="BH181" s="26">
        <f t="shared" si="200"/>
        <v>0</v>
      </c>
      <c r="BI181" s="26">
        <f t="shared" si="201"/>
        <v>0</v>
      </c>
    </row>
    <row r="182" spans="1:61" ht="12.75" hidden="1">
      <c r="A182" s="24" t="s">
        <v>157</v>
      </c>
      <c r="B182" s="25"/>
      <c r="C182" s="25" t="s">
        <v>406</v>
      </c>
      <c r="D182" s="25" t="s">
        <v>655</v>
      </c>
      <c r="E182" s="25" t="s">
        <v>750</v>
      </c>
      <c r="F182" s="47">
        <v>0</v>
      </c>
      <c r="G182" s="26">
        <f>'Smluvní ceník'!G182</f>
        <v>0</v>
      </c>
      <c r="H182" s="26">
        <f t="shared" si="178"/>
        <v>0</v>
      </c>
      <c r="I182" s="26">
        <f t="shared" si="179"/>
        <v>0</v>
      </c>
      <c r="J182" s="26">
        <f t="shared" si="180"/>
        <v>0</v>
      </c>
      <c r="K182" s="26">
        <v>0.0002</v>
      </c>
      <c r="L182" s="26">
        <f t="shared" si="181"/>
        <v>0</v>
      </c>
      <c r="Y182" s="27">
        <f t="shared" si="182"/>
        <v>0</v>
      </c>
      <c r="AA182" s="27">
        <f t="shared" si="183"/>
        <v>0</v>
      </c>
      <c r="AB182" s="27">
        <f t="shared" si="184"/>
        <v>0</v>
      </c>
      <c r="AC182" s="27">
        <f t="shared" si="185"/>
        <v>0</v>
      </c>
      <c r="AD182" s="27">
        <f t="shared" si="186"/>
        <v>0</v>
      </c>
      <c r="AE182" s="27">
        <f t="shared" si="187"/>
        <v>0</v>
      </c>
      <c r="AF182" s="27">
        <f t="shared" si="188"/>
        <v>0</v>
      </c>
      <c r="AG182" s="27">
        <f t="shared" si="189"/>
        <v>0</v>
      </c>
      <c r="AH182" s="17"/>
      <c r="AI182" s="26">
        <f t="shared" si="190"/>
        <v>0</v>
      </c>
      <c r="AJ182" s="26">
        <f t="shared" si="191"/>
        <v>0</v>
      </c>
      <c r="AK182" s="26">
        <f t="shared" si="192"/>
        <v>0</v>
      </c>
      <c r="AM182" s="27">
        <v>21</v>
      </c>
      <c r="AN182" s="27">
        <f>G182*0.608031496062992</f>
        <v>0</v>
      </c>
      <c r="AO182" s="27">
        <f>G182*(1-0.608031496062992)</f>
        <v>0</v>
      </c>
      <c r="AP182" s="28" t="s">
        <v>13</v>
      </c>
      <c r="AU182" s="27">
        <f t="shared" si="193"/>
        <v>0</v>
      </c>
      <c r="AV182" s="27">
        <f t="shared" si="194"/>
        <v>0</v>
      </c>
      <c r="AW182" s="27">
        <f t="shared" si="195"/>
        <v>0</v>
      </c>
      <c r="AX182" s="29" t="s">
        <v>787</v>
      </c>
      <c r="AY182" s="29" t="s">
        <v>794</v>
      </c>
      <c r="AZ182" s="17" t="s">
        <v>796</v>
      </c>
      <c r="BB182" s="27">
        <f t="shared" si="196"/>
        <v>0</v>
      </c>
      <c r="BC182" s="27">
        <f t="shared" si="197"/>
        <v>0</v>
      </c>
      <c r="BD182" s="27">
        <v>0</v>
      </c>
      <c r="BE182" s="27">
        <f t="shared" si="198"/>
        <v>0</v>
      </c>
      <c r="BG182" s="26">
        <f t="shared" si="199"/>
        <v>0</v>
      </c>
      <c r="BH182" s="26">
        <f t="shared" si="200"/>
        <v>0</v>
      </c>
      <c r="BI182" s="26">
        <f t="shared" si="201"/>
        <v>0</v>
      </c>
    </row>
    <row r="183" spans="1:61" ht="12.75" hidden="1">
      <c r="A183" s="24" t="s">
        <v>158</v>
      </c>
      <c r="B183" s="25"/>
      <c r="C183" s="25" t="s">
        <v>407</v>
      </c>
      <c r="D183" s="25" t="s">
        <v>656</v>
      </c>
      <c r="E183" s="25" t="s">
        <v>750</v>
      </c>
      <c r="F183" s="47">
        <v>0</v>
      </c>
      <c r="G183" s="26">
        <f>'Smluvní ceník'!G183</f>
        <v>0</v>
      </c>
      <c r="H183" s="26">
        <f t="shared" si="178"/>
        <v>0</v>
      </c>
      <c r="I183" s="26">
        <f t="shared" si="179"/>
        <v>0</v>
      </c>
      <c r="J183" s="26">
        <f t="shared" si="180"/>
        <v>0</v>
      </c>
      <c r="K183" s="26">
        <v>9E-05</v>
      </c>
      <c r="L183" s="26">
        <f t="shared" si="181"/>
        <v>0</v>
      </c>
      <c r="Y183" s="27">
        <f t="shared" si="182"/>
        <v>0</v>
      </c>
      <c r="AA183" s="27">
        <f t="shared" si="183"/>
        <v>0</v>
      </c>
      <c r="AB183" s="27">
        <f t="shared" si="184"/>
        <v>0</v>
      </c>
      <c r="AC183" s="27">
        <f t="shared" si="185"/>
        <v>0</v>
      </c>
      <c r="AD183" s="27">
        <f t="shared" si="186"/>
        <v>0</v>
      </c>
      <c r="AE183" s="27">
        <f t="shared" si="187"/>
        <v>0</v>
      </c>
      <c r="AF183" s="27">
        <f t="shared" si="188"/>
        <v>0</v>
      </c>
      <c r="AG183" s="27">
        <f t="shared" si="189"/>
        <v>0</v>
      </c>
      <c r="AH183" s="17"/>
      <c r="AI183" s="26">
        <f t="shared" si="190"/>
        <v>0</v>
      </c>
      <c r="AJ183" s="26">
        <f t="shared" si="191"/>
        <v>0</v>
      </c>
      <c r="AK183" s="26">
        <f t="shared" si="192"/>
        <v>0</v>
      </c>
      <c r="AM183" s="27">
        <v>21</v>
      </c>
      <c r="AN183" s="27">
        <f>G183*0.370322580645161</f>
        <v>0</v>
      </c>
      <c r="AO183" s="27">
        <f>G183*(1-0.370322580645161)</f>
        <v>0</v>
      </c>
      <c r="AP183" s="28" t="s">
        <v>13</v>
      </c>
      <c r="AU183" s="27">
        <f t="shared" si="193"/>
        <v>0</v>
      </c>
      <c r="AV183" s="27">
        <f t="shared" si="194"/>
        <v>0</v>
      </c>
      <c r="AW183" s="27">
        <f t="shared" si="195"/>
        <v>0</v>
      </c>
      <c r="AX183" s="29" t="s">
        <v>787</v>
      </c>
      <c r="AY183" s="29" t="s">
        <v>794</v>
      </c>
      <c r="AZ183" s="17" t="s">
        <v>796</v>
      </c>
      <c r="BB183" s="27">
        <f t="shared" si="196"/>
        <v>0</v>
      </c>
      <c r="BC183" s="27">
        <f t="shared" si="197"/>
        <v>0</v>
      </c>
      <c r="BD183" s="27">
        <v>0</v>
      </c>
      <c r="BE183" s="27">
        <f t="shared" si="198"/>
        <v>0</v>
      </c>
      <c r="BG183" s="26">
        <f t="shared" si="199"/>
        <v>0</v>
      </c>
      <c r="BH183" s="26">
        <f t="shared" si="200"/>
        <v>0</v>
      </c>
      <c r="BI183" s="26">
        <f t="shared" si="201"/>
        <v>0</v>
      </c>
    </row>
    <row r="184" spans="1:61" ht="12.75" hidden="1">
      <c r="A184" s="24" t="s">
        <v>159</v>
      </c>
      <c r="B184" s="25"/>
      <c r="C184" s="25" t="s">
        <v>408</v>
      </c>
      <c r="D184" s="25" t="s">
        <v>657</v>
      </c>
      <c r="E184" s="25" t="s">
        <v>750</v>
      </c>
      <c r="F184" s="47">
        <v>0</v>
      </c>
      <c r="G184" s="26">
        <f>'Smluvní ceník'!G184</f>
        <v>0</v>
      </c>
      <c r="H184" s="26">
        <f t="shared" si="178"/>
        <v>0</v>
      </c>
      <c r="I184" s="26">
        <f t="shared" si="179"/>
        <v>0</v>
      </c>
      <c r="J184" s="26">
        <f t="shared" si="180"/>
        <v>0</v>
      </c>
      <c r="K184" s="26">
        <v>0.00016</v>
      </c>
      <c r="L184" s="26">
        <f t="shared" si="181"/>
        <v>0</v>
      </c>
      <c r="Y184" s="27">
        <f t="shared" si="182"/>
        <v>0</v>
      </c>
      <c r="AA184" s="27">
        <f t="shared" si="183"/>
        <v>0</v>
      </c>
      <c r="AB184" s="27">
        <f t="shared" si="184"/>
        <v>0</v>
      </c>
      <c r="AC184" s="27">
        <f t="shared" si="185"/>
        <v>0</v>
      </c>
      <c r="AD184" s="27">
        <f t="shared" si="186"/>
        <v>0</v>
      </c>
      <c r="AE184" s="27">
        <f t="shared" si="187"/>
        <v>0</v>
      </c>
      <c r="AF184" s="27">
        <f t="shared" si="188"/>
        <v>0</v>
      </c>
      <c r="AG184" s="27">
        <f t="shared" si="189"/>
        <v>0</v>
      </c>
      <c r="AH184" s="17"/>
      <c r="AI184" s="26">
        <f t="shared" si="190"/>
        <v>0</v>
      </c>
      <c r="AJ184" s="26">
        <f t="shared" si="191"/>
        <v>0</v>
      </c>
      <c r="AK184" s="26">
        <f t="shared" si="192"/>
        <v>0</v>
      </c>
      <c r="AM184" s="27">
        <v>21</v>
      </c>
      <c r="AN184" s="27">
        <f>G184*0.239118825100133</f>
        <v>0</v>
      </c>
      <c r="AO184" s="27">
        <f>G184*(1-0.239118825100133)</f>
        <v>0</v>
      </c>
      <c r="AP184" s="28" t="s">
        <v>13</v>
      </c>
      <c r="AU184" s="27">
        <f t="shared" si="193"/>
        <v>0</v>
      </c>
      <c r="AV184" s="27">
        <f t="shared" si="194"/>
        <v>0</v>
      </c>
      <c r="AW184" s="27">
        <f t="shared" si="195"/>
        <v>0</v>
      </c>
      <c r="AX184" s="29" t="s">
        <v>787</v>
      </c>
      <c r="AY184" s="29" t="s">
        <v>794</v>
      </c>
      <c r="AZ184" s="17" t="s">
        <v>796</v>
      </c>
      <c r="BB184" s="27">
        <f t="shared" si="196"/>
        <v>0</v>
      </c>
      <c r="BC184" s="27">
        <f t="shared" si="197"/>
        <v>0</v>
      </c>
      <c r="BD184" s="27">
        <v>0</v>
      </c>
      <c r="BE184" s="27">
        <f t="shared" si="198"/>
        <v>0</v>
      </c>
      <c r="BG184" s="26">
        <f t="shared" si="199"/>
        <v>0</v>
      </c>
      <c r="BH184" s="26">
        <f t="shared" si="200"/>
        <v>0</v>
      </c>
      <c r="BI184" s="26">
        <f t="shared" si="201"/>
        <v>0</v>
      </c>
    </row>
    <row r="185" spans="1:61" ht="12.75" hidden="1">
      <c r="A185" s="24" t="s">
        <v>160</v>
      </c>
      <c r="B185" s="25"/>
      <c r="C185" s="25" t="s">
        <v>409</v>
      </c>
      <c r="D185" s="25" t="s">
        <v>658</v>
      </c>
      <c r="E185" s="25" t="s">
        <v>750</v>
      </c>
      <c r="F185" s="47">
        <v>0</v>
      </c>
      <c r="G185" s="26">
        <f>'Smluvní ceník'!G185</f>
        <v>0</v>
      </c>
      <c r="H185" s="26">
        <f t="shared" si="178"/>
        <v>0</v>
      </c>
      <c r="I185" s="26">
        <f t="shared" si="179"/>
        <v>0</v>
      </c>
      <c r="J185" s="26">
        <f t="shared" si="180"/>
        <v>0</v>
      </c>
      <c r="K185" s="26">
        <v>0.00015</v>
      </c>
      <c r="L185" s="26">
        <f t="shared" si="181"/>
        <v>0</v>
      </c>
      <c r="Y185" s="27">
        <f t="shared" si="182"/>
        <v>0</v>
      </c>
      <c r="AA185" s="27">
        <f t="shared" si="183"/>
        <v>0</v>
      </c>
      <c r="AB185" s="27">
        <f t="shared" si="184"/>
        <v>0</v>
      </c>
      <c r="AC185" s="27">
        <f t="shared" si="185"/>
        <v>0</v>
      </c>
      <c r="AD185" s="27">
        <f t="shared" si="186"/>
        <v>0</v>
      </c>
      <c r="AE185" s="27">
        <f t="shared" si="187"/>
        <v>0</v>
      </c>
      <c r="AF185" s="27">
        <f t="shared" si="188"/>
        <v>0</v>
      </c>
      <c r="AG185" s="27">
        <f t="shared" si="189"/>
        <v>0</v>
      </c>
      <c r="AH185" s="17"/>
      <c r="AI185" s="26">
        <f t="shared" si="190"/>
        <v>0</v>
      </c>
      <c r="AJ185" s="26">
        <f t="shared" si="191"/>
        <v>0</v>
      </c>
      <c r="AK185" s="26">
        <f t="shared" si="192"/>
        <v>0</v>
      </c>
      <c r="AM185" s="27">
        <v>21</v>
      </c>
      <c r="AN185" s="27">
        <f>G185*0.321515693608717</f>
        <v>0</v>
      </c>
      <c r="AO185" s="27">
        <f>G185*(1-0.321515693608717)</f>
        <v>0</v>
      </c>
      <c r="AP185" s="28" t="s">
        <v>13</v>
      </c>
      <c r="AU185" s="27">
        <f t="shared" si="193"/>
        <v>0</v>
      </c>
      <c r="AV185" s="27">
        <f t="shared" si="194"/>
        <v>0</v>
      </c>
      <c r="AW185" s="27">
        <f t="shared" si="195"/>
        <v>0</v>
      </c>
      <c r="AX185" s="29" t="s">
        <v>787</v>
      </c>
      <c r="AY185" s="29" t="s">
        <v>794</v>
      </c>
      <c r="AZ185" s="17" t="s">
        <v>796</v>
      </c>
      <c r="BB185" s="27">
        <f t="shared" si="196"/>
        <v>0</v>
      </c>
      <c r="BC185" s="27">
        <f t="shared" si="197"/>
        <v>0</v>
      </c>
      <c r="BD185" s="27">
        <v>0</v>
      </c>
      <c r="BE185" s="27">
        <f t="shared" si="198"/>
        <v>0</v>
      </c>
      <c r="BG185" s="26">
        <f t="shared" si="199"/>
        <v>0</v>
      </c>
      <c r="BH185" s="26">
        <f t="shared" si="200"/>
        <v>0</v>
      </c>
      <c r="BI185" s="26">
        <f t="shared" si="201"/>
        <v>0</v>
      </c>
    </row>
    <row r="186" spans="1:61" ht="12.75" hidden="1">
      <c r="A186" s="24" t="s">
        <v>161</v>
      </c>
      <c r="B186" s="25"/>
      <c r="C186" s="25" t="s">
        <v>410</v>
      </c>
      <c r="D186" s="25" t="s">
        <v>659</v>
      </c>
      <c r="E186" s="25" t="s">
        <v>750</v>
      </c>
      <c r="F186" s="47">
        <v>0</v>
      </c>
      <c r="G186" s="26">
        <f>'Smluvní ceník'!G186</f>
        <v>0</v>
      </c>
      <c r="H186" s="26">
        <f t="shared" si="178"/>
        <v>0</v>
      </c>
      <c r="I186" s="26">
        <f t="shared" si="179"/>
        <v>0</v>
      </c>
      <c r="J186" s="26">
        <f t="shared" si="180"/>
        <v>0</v>
      </c>
      <c r="K186" s="26">
        <v>0.00019</v>
      </c>
      <c r="L186" s="26">
        <f t="shared" si="181"/>
        <v>0</v>
      </c>
      <c r="Y186" s="27">
        <f t="shared" si="182"/>
        <v>0</v>
      </c>
      <c r="AA186" s="27">
        <f t="shared" si="183"/>
        <v>0</v>
      </c>
      <c r="AB186" s="27">
        <f t="shared" si="184"/>
        <v>0</v>
      </c>
      <c r="AC186" s="27">
        <f t="shared" si="185"/>
        <v>0</v>
      </c>
      <c r="AD186" s="27">
        <f t="shared" si="186"/>
        <v>0</v>
      </c>
      <c r="AE186" s="27">
        <f t="shared" si="187"/>
        <v>0</v>
      </c>
      <c r="AF186" s="27">
        <f t="shared" si="188"/>
        <v>0</v>
      </c>
      <c r="AG186" s="27">
        <f t="shared" si="189"/>
        <v>0</v>
      </c>
      <c r="AH186" s="17"/>
      <c r="AI186" s="26">
        <f t="shared" si="190"/>
        <v>0</v>
      </c>
      <c r="AJ186" s="26">
        <f t="shared" si="191"/>
        <v>0</v>
      </c>
      <c r="AK186" s="26">
        <f t="shared" si="192"/>
        <v>0</v>
      </c>
      <c r="AM186" s="27">
        <v>21</v>
      </c>
      <c r="AN186" s="27">
        <f>G186*0.385353003161222</f>
        <v>0</v>
      </c>
      <c r="AO186" s="27">
        <f>G186*(1-0.385353003161222)</f>
        <v>0</v>
      </c>
      <c r="AP186" s="28" t="s">
        <v>13</v>
      </c>
      <c r="AU186" s="27">
        <f t="shared" si="193"/>
        <v>0</v>
      </c>
      <c r="AV186" s="27">
        <f t="shared" si="194"/>
        <v>0</v>
      </c>
      <c r="AW186" s="27">
        <f t="shared" si="195"/>
        <v>0</v>
      </c>
      <c r="AX186" s="29" t="s">
        <v>787</v>
      </c>
      <c r="AY186" s="29" t="s">
        <v>794</v>
      </c>
      <c r="AZ186" s="17" t="s">
        <v>796</v>
      </c>
      <c r="BB186" s="27">
        <f t="shared" si="196"/>
        <v>0</v>
      </c>
      <c r="BC186" s="27">
        <f t="shared" si="197"/>
        <v>0</v>
      </c>
      <c r="BD186" s="27">
        <v>0</v>
      </c>
      <c r="BE186" s="27">
        <f t="shared" si="198"/>
        <v>0</v>
      </c>
      <c r="BG186" s="26">
        <f t="shared" si="199"/>
        <v>0</v>
      </c>
      <c r="BH186" s="26">
        <f t="shared" si="200"/>
        <v>0</v>
      </c>
      <c r="BI186" s="26">
        <f t="shared" si="201"/>
        <v>0</v>
      </c>
    </row>
    <row r="187" spans="1:61" ht="12.75" hidden="1">
      <c r="A187" s="24" t="s">
        <v>162</v>
      </c>
      <c r="B187" s="25"/>
      <c r="C187" s="25" t="s">
        <v>411</v>
      </c>
      <c r="D187" s="25" t="s">
        <v>660</v>
      </c>
      <c r="E187" s="25" t="s">
        <v>750</v>
      </c>
      <c r="F187" s="47">
        <v>0</v>
      </c>
      <c r="G187" s="26">
        <f>'Smluvní ceník'!G187</f>
        <v>0</v>
      </c>
      <c r="H187" s="26">
        <f t="shared" si="178"/>
        <v>0</v>
      </c>
      <c r="I187" s="26">
        <f t="shared" si="179"/>
        <v>0</v>
      </c>
      <c r="J187" s="26">
        <f t="shared" si="180"/>
        <v>0</v>
      </c>
      <c r="K187" s="26">
        <v>4E-05</v>
      </c>
      <c r="L187" s="26">
        <f t="shared" si="181"/>
        <v>0</v>
      </c>
      <c r="Y187" s="27">
        <f t="shared" si="182"/>
        <v>0</v>
      </c>
      <c r="AA187" s="27">
        <f t="shared" si="183"/>
        <v>0</v>
      </c>
      <c r="AB187" s="27">
        <f t="shared" si="184"/>
        <v>0</v>
      </c>
      <c r="AC187" s="27">
        <f t="shared" si="185"/>
        <v>0</v>
      </c>
      <c r="AD187" s="27">
        <f t="shared" si="186"/>
        <v>0</v>
      </c>
      <c r="AE187" s="27">
        <f t="shared" si="187"/>
        <v>0</v>
      </c>
      <c r="AF187" s="27">
        <f t="shared" si="188"/>
        <v>0</v>
      </c>
      <c r="AG187" s="27">
        <f t="shared" si="189"/>
        <v>0</v>
      </c>
      <c r="AH187" s="17"/>
      <c r="AI187" s="26">
        <f t="shared" si="190"/>
        <v>0</v>
      </c>
      <c r="AJ187" s="26">
        <f t="shared" si="191"/>
        <v>0</v>
      </c>
      <c r="AK187" s="26">
        <f t="shared" si="192"/>
        <v>0</v>
      </c>
      <c r="AM187" s="27">
        <v>21</v>
      </c>
      <c r="AN187" s="27">
        <f>G187*0.117731958762887</f>
        <v>0</v>
      </c>
      <c r="AO187" s="27">
        <f>G187*(1-0.117731958762887)</f>
        <v>0</v>
      </c>
      <c r="AP187" s="28" t="s">
        <v>13</v>
      </c>
      <c r="AU187" s="27">
        <f t="shared" si="193"/>
        <v>0</v>
      </c>
      <c r="AV187" s="27">
        <f t="shared" si="194"/>
        <v>0</v>
      </c>
      <c r="AW187" s="27">
        <f t="shared" si="195"/>
        <v>0</v>
      </c>
      <c r="AX187" s="29" t="s">
        <v>787</v>
      </c>
      <c r="AY187" s="29" t="s">
        <v>794</v>
      </c>
      <c r="AZ187" s="17" t="s">
        <v>796</v>
      </c>
      <c r="BB187" s="27">
        <f t="shared" si="196"/>
        <v>0</v>
      </c>
      <c r="BC187" s="27">
        <f t="shared" si="197"/>
        <v>0</v>
      </c>
      <c r="BD187" s="27">
        <v>0</v>
      </c>
      <c r="BE187" s="27">
        <f t="shared" si="198"/>
        <v>0</v>
      </c>
      <c r="BG187" s="26">
        <f t="shared" si="199"/>
        <v>0</v>
      </c>
      <c r="BH187" s="26">
        <f t="shared" si="200"/>
        <v>0</v>
      </c>
      <c r="BI187" s="26">
        <f t="shared" si="201"/>
        <v>0</v>
      </c>
    </row>
    <row r="188" spans="1:61" ht="12.75" hidden="1">
      <c r="A188" s="24" t="s">
        <v>163</v>
      </c>
      <c r="B188" s="25"/>
      <c r="C188" s="25" t="s">
        <v>412</v>
      </c>
      <c r="D188" s="25" t="s">
        <v>661</v>
      </c>
      <c r="E188" s="25" t="s">
        <v>750</v>
      </c>
      <c r="F188" s="49"/>
      <c r="G188" s="26">
        <f>'Smluvní ceník'!G188</f>
        <v>0</v>
      </c>
      <c r="H188" s="26">
        <f t="shared" si="178"/>
        <v>0</v>
      </c>
      <c r="I188" s="26">
        <f t="shared" si="179"/>
        <v>0</v>
      </c>
      <c r="J188" s="26">
        <f t="shared" si="180"/>
        <v>0</v>
      </c>
      <c r="K188" s="26">
        <v>0.00018</v>
      </c>
      <c r="L188" s="26">
        <f t="shared" si="181"/>
        <v>0</v>
      </c>
      <c r="Y188" s="27">
        <f t="shared" si="182"/>
        <v>0</v>
      </c>
      <c r="AA188" s="27">
        <f t="shared" si="183"/>
        <v>0</v>
      </c>
      <c r="AB188" s="27">
        <f t="shared" si="184"/>
        <v>0</v>
      </c>
      <c r="AC188" s="27">
        <f t="shared" si="185"/>
        <v>0</v>
      </c>
      <c r="AD188" s="27">
        <f t="shared" si="186"/>
        <v>0</v>
      </c>
      <c r="AE188" s="27">
        <f t="shared" si="187"/>
        <v>0</v>
      </c>
      <c r="AF188" s="27">
        <f t="shared" si="188"/>
        <v>0</v>
      </c>
      <c r="AG188" s="27">
        <f t="shared" si="189"/>
        <v>0</v>
      </c>
      <c r="AH188" s="17"/>
      <c r="AI188" s="26">
        <f t="shared" si="190"/>
        <v>0</v>
      </c>
      <c r="AJ188" s="26">
        <f t="shared" si="191"/>
        <v>0</v>
      </c>
      <c r="AK188" s="26">
        <f t="shared" si="192"/>
        <v>0</v>
      </c>
      <c r="AM188" s="27">
        <v>21</v>
      </c>
      <c r="AN188" s="27">
        <f>G188*0.178069306930693</f>
        <v>0</v>
      </c>
      <c r="AO188" s="27">
        <f>G188*(1-0.178069306930693)</f>
        <v>0</v>
      </c>
      <c r="AP188" s="28" t="s">
        <v>13</v>
      </c>
      <c r="AU188" s="27">
        <f t="shared" si="193"/>
        <v>0</v>
      </c>
      <c r="AV188" s="27">
        <f t="shared" si="194"/>
        <v>0</v>
      </c>
      <c r="AW188" s="27">
        <f t="shared" si="195"/>
        <v>0</v>
      </c>
      <c r="AX188" s="29" t="s">
        <v>787</v>
      </c>
      <c r="AY188" s="29" t="s">
        <v>794</v>
      </c>
      <c r="AZ188" s="17" t="s">
        <v>796</v>
      </c>
      <c r="BB188" s="27">
        <f t="shared" si="196"/>
        <v>0</v>
      </c>
      <c r="BC188" s="27">
        <f t="shared" si="197"/>
        <v>0</v>
      </c>
      <c r="BD188" s="27">
        <v>0</v>
      </c>
      <c r="BE188" s="27">
        <f t="shared" si="198"/>
        <v>0</v>
      </c>
      <c r="BG188" s="26">
        <f t="shared" si="199"/>
        <v>0</v>
      </c>
      <c r="BH188" s="26">
        <f t="shared" si="200"/>
        <v>0</v>
      </c>
      <c r="BI188" s="26">
        <f t="shared" si="201"/>
        <v>0</v>
      </c>
    </row>
    <row r="189" spans="1:61" ht="12.75" hidden="1">
      <c r="A189" s="24" t="s">
        <v>164</v>
      </c>
      <c r="B189" s="25"/>
      <c r="C189" s="25" t="s">
        <v>413</v>
      </c>
      <c r="D189" s="25" t="s">
        <v>662</v>
      </c>
      <c r="E189" s="25" t="s">
        <v>750</v>
      </c>
      <c r="F189" s="47">
        <v>0</v>
      </c>
      <c r="G189" s="26">
        <f>'Smluvní ceník'!G189</f>
        <v>0</v>
      </c>
      <c r="H189" s="26">
        <f t="shared" si="178"/>
        <v>0</v>
      </c>
      <c r="I189" s="26">
        <f t="shared" si="179"/>
        <v>0</v>
      </c>
      <c r="J189" s="26">
        <f t="shared" si="180"/>
        <v>0</v>
      </c>
      <c r="K189" s="26">
        <v>0.00032</v>
      </c>
      <c r="L189" s="26">
        <f t="shared" si="181"/>
        <v>0</v>
      </c>
      <c r="Y189" s="27">
        <f t="shared" si="182"/>
        <v>0</v>
      </c>
      <c r="AA189" s="27">
        <f t="shared" si="183"/>
        <v>0</v>
      </c>
      <c r="AB189" s="27">
        <f t="shared" si="184"/>
        <v>0</v>
      </c>
      <c r="AC189" s="27">
        <f t="shared" si="185"/>
        <v>0</v>
      </c>
      <c r="AD189" s="27">
        <f t="shared" si="186"/>
        <v>0</v>
      </c>
      <c r="AE189" s="27">
        <f t="shared" si="187"/>
        <v>0</v>
      </c>
      <c r="AF189" s="27">
        <f t="shared" si="188"/>
        <v>0</v>
      </c>
      <c r="AG189" s="27">
        <f t="shared" si="189"/>
        <v>0</v>
      </c>
      <c r="AH189" s="17"/>
      <c r="AI189" s="26">
        <f t="shared" si="190"/>
        <v>0</v>
      </c>
      <c r="AJ189" s="26">
        <f t="shared" si="191"/>
        <v>0</v>
      </c>
      <c r="AK189" s="26">
        <f t="shared" si="192"/>
        <v>0</v>
      </c>
      <c r="AM189" s="27">
        <v>21</v>
      </c>
      <c r="AN189" s="27">
        <f>G189*0.181227168596372</f>
        <v>0</v>
      </c>
      <c r="AO189" s="27">
        <f>G189*(1-0.181227168596372)</f>
        <v>0</v>
      </c>
      <c r="AP189" s="28" t="s">
        <v>13</v>
      </c>
      <c r="AU189" s="27">
        <f t="shared" si="193"/>
        <v>0</v>
      </c>
      <c r="AV189" s="27">
        <f t="shared" si="194"/>
        <v>0</v>
      </c>
      <c r="AW189" s="27">
        <f t="shared" si="195"/>
        <v>0</v>
      </c>
      <c r="AX189" s="29" t="s">
        <v>787</v>
      </c>
      <c r="AY189" s="29" t="s">
        <v>794</v>
      </c>
      <c r="AZ189" s="17" t="s">
        <v>796</v>
      </c>
      <c r="BB189" s="27">
        <f t="shared" si="196"/>
        <v>0</v>
      </c>
      <c r="BC189" s="27">
        <f t="shared" si="197"/>
        <v>0</v>
      </c>
      <c r="BD189" s="27">
        <v>0</v>
      </c>
      <c r="BE189" s="27">
        <f t="shared" si="198"/>
        <v>0</v>
      </c>
      <c r="BG189" s="26">
        <f t="shared" si="199"/>
        <v>0</v>
      </c>
      <c r="BH189" s="26">
        <f t="shared" si="200"/>
        <v>0</v>
      </c>
      <c r="BI189" s="26">
        <f t="shared" si="201"/>
        <v>0</v>
      </c>
    </row>
    <row r="190" spans="1:61" ht="12.75" hidden="1">
      <c r="A190" s="24" t="s">
        <v>165</v>
      </c>
      <c r="B190" s="25"/>
      <c r="C190" s="25" t="s">
        <v>414</v>
      </c>
      <c r="D190" s="25" t="s">
        <v>663</v>
      </c>
      <c r="E190" s="25" t="s">
        <v>750</v>
      </c>
      <c r="F190" s="49"/>
      <c r="G190" s="26">
        <f>'Smluvní ceník'!G190</f>
        <v>0</v>
      </c>
      <c r="H190" s="26">
        <f t="shared" si="178"/>
        <v>0</v>
      </c>
      <c r="I190" s="26">
        <f t="shared" si="179"/>
        <v>0</v>
      </c>
      <c r="J190" s="26">
        <f t="shared" si="180"/>
        <v>0</v>
      </c>
      <c r="K190" s="26">
        <v>0.00021</v>
      </c>
      <c r="L190" s="26">
        <f t="shared" si="181"/>
        <v>0</v>
      </c>
      <c r="Y190" s="27">
        <f t="shared" si="182"/>
        <v>0</v>
      </c>
      <c r="AA190" s="27">
        <f t="shared" si="183"/>
        <v>0</v>
      </c>
      <c r="AB190" s="27">
        <f t="shared" si="184"/>
        <v>0</v>
      </c>
      <c r="AC190" s="27">
        <f t="shared" si="185"/>
        <v>0</v>
      </c>
      <c r="AD190" s="27">
        <f t="shared" si="186"/>
        <v>0</v>
      </c>
      <c r="AE190" s="27">
        <f t="shared" si="187"/>
        <v>0</v>
      </c>
      <c r="AF190" s="27">
        <f t="shared" si="188"/>
        <v>0</v>
      </c>
      <c r="AG190" s="27">
        <f t="shared" si="189"/>
        <v>0</v>
      </c>
      <c r="AH190" s="17"/>
      <c r="AI190" s="26">
        <f t="shared" si="190"/>
        <v>0</v>
      </c>
      <c r="AJ190" s="26">
        <f t="shared" si="191"/>
        <v>0</v>
      </c>
      <c r="AK190" s="26">
        <f t="shared" si="192"/>
        <v>0</v>
      </c>
      <c r="AM190" s="27">
        <v>21</v>
      </c>
      <c r="AN190" s="27">
        <f>G190*0.186813186813187</f>
        <v>0</v>
      </c>
      <c r="AO190" s="27">
        <f>G190*(1-0.186813186813187)</f>
        <v>0</v>
      </c>
      <c r="AP190" s="28" t="s">
        <v>13</v>
      </c>
      <c r="AU190" s="27">
        <f t="shared" si="193"/>
        <v>0</v>
      </c>
      <c r="AV190" s="27">
        <f t="shared" si="194"/>
        <v>0</v>
      </c>
      <c r="AW190" s="27">
        <f t="shared" si="195"/>
        <v>0</v>
      </c>
      <c r="AX190" s="29" t="s">
        <v>787</v>
      </c>
      <c r="AY190" s="29" t="s">
        <v>794</v>
      </c>
      <c r="AZ190" s="17" t="s">
        <v>796</v>
      </c>
      <c r="BB190" s="27">
        <f t="shared" si="196"/>
        <v>0</v>
      </c>
      <c r="BC190" s="27">
        <f t="shared" si="197"/>
        <v>0</v>
      </c>
      <c r="BD190" s="27">
        <v>0</v>
      </c>
      <c r="BE190" s="27">
        <f t="shared" si="198"/>
        <v>0</v>
      </c>
      <c r="BG190" s="26">
        <f t="shared" si="199"/>
        <v>0</v>
      </c>
      <c r="BH190" s="26">
        <f t="shared" si="200"/>
        <v>0</v>
      </c>
      <c r="BI190" s="26">
        <f t="shared" si="201"/>
        <v>0</v>
      </c>
    </row>
    <row r="191" spans="1:61" ht="12.75">
      <c r="A191" s="24" t="s">
        <v>166</v>
      </c>
      <c r="B191" s="25"/>
      <c r="C191" s="25" t="s">
        <v>415</v>
      </c>
      <c r="D191" s="25" t="s">
        <v>663</v>
      </c>
      <c r="E191" s="25" t="s">
        <v>750</v>
      </c>
      <c r="F191" s="47">
        <v>20</v>
      </c>
      <c r="G191" s="26">
        <f>'Smluvní ceník'!G191</f>
        <v>0</v>
      </c>
      <c r="H191" s="26">
        <f t="shared" si="178"/>
        <v>0</v>
      </c>
      <c r="I191" s="26">
        <f t="shared" si="179"/>
        <v>0</v>
      </c>
      <c r="J191" s="26">
        <f t="shared" si="180"/>
        <v>0</v>
      </c>
      <c r="K191" s="26">
        <v>0.00047</v>
      </c>
      <c r="L191" s="26">
        <f t="shared" si="181"/>
        <v>0.0094</v>
      </c>
      <c r="Y191" s="27">
        <f t="shared" si="182"/>
        <v>0</v>
      </c>
      <c r="AA191" s="27">
        <f t="shared" si="183"/>
        <v>0</v>
      </c>
      <c r="AB191" s="27">
        <f t="shared" si="184"/>
        <v>0</v>
      </c>
      <c r="AC191" s="27">
        <f t="shared" si="185"/>
        <v>0</v>
      </c>
      <c r="AD191" s="27">
        <f t="shared" si="186"/>
        <v>0</v>
      </c>
      <c r="AE191" s="27">
        <f t="shared" si="187"/>
        <v>0</v>
      </c>
      <c r="AF191" s="27">
        <f t="shared" si="188"/>
        <v>0</v>
      </c>
      <c r="AG191" s="27">
        <f t="shared" si="189"/>
        <v>0</v>
      </c>
      <c r="AH191" s="17"/>
      <c r="AI191" s="26">
        <f t="shared" si="190"/>
        <v>0</v>
      </c>
      <c r="AJ191" s="26">
        <f t="shared" si="191"/>
        <v>0</v>
      </c>
      <c r="AK191" s="26">
        <f t="shared" si="192"/>
        <v>0</v>
      </c>
      <c r="AM191" s="27">
        <v>21</v>
      </c>
      <c r="AN191" s="27">
        <f>G191*0.211666666666667</f>
        <v>0</v>
      </c>
      <c r="AO191" s="27">
        <f>G191*(1-0.211666666666667)</f>
        <v>0</v>
      </c>
      <c r="AP191" s="28" t="s">
        <v>13</v>
      </c>
      <c r="AU191" s="27">
        <f t="shared" si="193"/>
        <v>0</v>
      </c>
      <c r="AV191" s="27">
        <f t="shared" si="194"/>
        <v>0</v>
      </c>
      <c r="AW191" s="27">
        <f t="shared" si="195"/>
        <v>0</v>
      </c>
      <c r="AX191" s="29" t="s">
        <v>787</v>
      </c>
      <c r="AY191" s="29" t="s">
        <v>794</v>
      </c>
      <c r="AZ191" s="17" t="s">
        <v>796</v>
      </c>
      <c r="BB191" s="27">
        <f t="shared" si="196"/>
        <v>0</v>
      </c>
      <c r="BC191" s="27">
        <f t="shared" si="197"/>
        <v>0</v>
      </c>
      <c r="BD191" s="27">
        <v>0</v>
      </c>
      <c r="BE191" s="27">
        <f t="shared" si="198"/>
        <v>0.0094</v>
      </c>
      <c r="BG191" s="26">
        <f t="shared" si="199"/>
        <v>0</v>
      </c>
      <c r="BH191" s="26">
        <f t="shared" si="200"/>
        <v>0</v>
      </c>
      <c r="BI191" s="26">
        <f t="shared" si="201"/>
        <v>0</v>
      </c>
    </row>
    <row r="192" spans="1:61" ht="12.75" hidden="1">
      <c r="A192" s="24" t="s">
        <v>167</v>
      </c>
      <c r="B192" s="25"/>
      <c r="C192" s="25" t="s">
        <v>416</v>
      </c>
      <c r="D192" s="25" t="s">
        <v>663</v>
      </c>
      <c r="E192" s="25" t="s">
        <v>750</v>
      </c>
      <c r="F192" s="47">
        <v>0</v>
      </c>
      <c r="G192" s="26">
        <f>'Smluvní ceník'!G192</f>
        <v>0</v>
      </c>
      <c r="H192" s="26">
        <f t="shared" si="178"/>
        <v>0</v>
      </c>
      <c r="I192" s="26">
        <f t="shared" si="179"/>
        <v>0</v>
      </c>
      <c r="J192" s="26">
        <f t="shared" si="180"/>
        <v>0</v>
      </c>
      <c r="K192" s="26">
        <v>0.00062</v>
      </c>
      <c r="L192" s="26">
        <f t="shared" si="181"/>
        <v>0</v>
      </c>
      <c r="Y192" s="27">
        <f t="shared" si="182"/>
        <v>0</v>
      </c>
      <c r="AA192" s="27">
        <f t="shared" si="183"/>
        <v>0</v>
      </c>
      <c r="AB192" s="27">
        <f t="shared" si="184"/>
        <v>0</v>
      </c>
      <c r="AC192" s="27">
        <f t="shared" si="185"/>
        <v>0</v>
      </c>
      <c r="AD192" s="27">
        <f t="shared" si="186"/>
        <v>0</v>
      </c>
      <c r="AE192" s="27">
        <f t="shared" si="187"/>
        <v>0</v>
      </c>
      <c r="AF192" s="27">
        <f t="shared" si="188"/>
        <v>0</v>
      </c>
      <c r="AG192" s="27">
        <f t="shared" si="189"/>
        <v>0</v>
      </c>
      <c r="AH192" s="17"/>
      <c r="AI192" s="26">
        <f t="shared" si="190"/>
        <v>0</v>
      </c>
      <c r="AJ192" s="26">
        <f t="shared" si="191"/>
        <v>0</v>
      </c>
      <c r="AK192" s="26">
        <f t="shared" si="192"/>
        <v>0</v>
      </c>
      <c r="AM192" s="27">
        <v>21</v>
      </c>
      <c r="AN192" s="27">
        <f>G192*0.209061148414538</f>
        <v>0</v>
      </c>
      <c r="AO192" s="27">
        <f>G192*(1-0.209061148414538)</f>
        <v>0</v>
      </c>
      <c r="AP192" s="28" t="s">
        <v>13</v>
      </c>
      <c r="AU192" s="27">
        <f t="shared" si="193"/>
        <v>0</v>
      </c>
      <c r="AV192" s="27">
        <f t="shared" si="194"/>
        <v>0</v>
      </c>
      <c r="AW192" s="27">
        <f t="shared" si="195"/>
        <v>0</v>
      </c>
      <c r="AX192" s="29" t="s">
        <v>787</v>
      </c>
      <c r="AY192" s="29" t="s">
        <v>794</v>
      </c>
      <c r="AZ192" s="17" t="s">
        <v>796</v>
      </c>
      <c r="BB192" s="27">
        <f t="shared" si="196"/>
        <v>0</v>
      </c>
      <c r="BC192" s="27">
        <f t="shared" si="197"/>
        <v>0</v>
      </c>
      <c r="BD192" s="27">
        <v>0</v>
      </c>
      <c r="BE192" s="27">
        <f t="shared" si="198"/>
        <v>0</v>
      </c>
      <c r="BG192" s="26">
        <f t="shared" si="199"/>
        <v>0</v>
      </c>
      <c r="BH192" s="26">
        <f t="shared" si="200"/>
        <v>0</v>
      </c>
      <c r="BI192" s="26">
        <f t="shared" si="201"/>
        <v>0</v>
      </c>
    </row>
    <row r="193" spans="4:7" ht="12" hidden="1">
      <c r="D193" s="39" t="s">
        <v>664</v>
      </c>
      <c r="F193" s="47"/>
      <c r="G193" s="26"/>
    </row>
    <row r="194" spans="1:61" ht="12.75" hidden="1">
      <c r="A194" s="24" t="s">
        <v>168</v>
      </c>
      <c r="B194" s="25"/>
      <c r="C194" s="25" t="s">
        <v>417</v>
      </c>
      <c r="D194" s="25" t="s">
        <v>665</v>
      </c>
      <c r="E194" s="25" t="s">
        <v>750</v>
      </c>
      <c r="F194" s="47">
        <v>0</v>
      </c>
      <c r="G194" s="26">
        <f>'Smluvní ceník'!G194</f>
        <v>0</v>
      </c>
      <c r="H194" s="26">
        <f aca="true" t="shared" si="202" ref="H194:H240">F194*AN194</f>
        <v>0</v>
      </c>
      <c r="I194" s="26">
        <f aca="true" t="shared" si="203" ref="I194:I240">F194*AO194</f>
        <v>0</v>
      </c>
      <c r="J194" s="26">
        <f aca="true" t="shared" si="204" ref="J194:J240">F194*G194</f>
        <v>0</v>
      </c>
      <c r="K194" s="26">
        <v>0.00067</v>
      </c>
      <c r="L194" s="26">
        <f aca="true" t="shared" si="205" ref="L194:L240">F194*K194</f>
        <v>0</v>
      </c>
      <c r="Y194" s="27">
        <f aca="true" t="shared" si="206" ref="Y194:Y240">IF(AP194="5",BI194,0)</f>
        <v>0</v>
      </c>
      <c r="AA194" s="27">
        <f aca="true" t="shared" si="207" ref="AA194:AA240">IF(AP194="1",BG194,0)</f>
        <v>0</v>
      </c>
      <c r="AB194" s="27">
        <f aca="true" t="shared" si="208" ref="AB194:AB240">IF(AP194="1",BH194,0)</f>
        <v>0</v>
      </c>
      <c r="AC194" s="27">
        <f aca="true" t="shared" si="209" ref="AC194:AC240">IF(AP194="7",BG194,0)</f>
        <v>0</v>
      </c>
      <c r="AD194" s="27">
        <f aca="true" t="shared" si="210" ref="AD194:AD240">IF(AP194="7",BH194,0)</f>
        <v>0</v>
      </c>
      <c r="AE194" s="27">
        <f aca="true" t="shared" si="211" ref="AE194:AE240">IF(AP194="2",BG194,0)</f>
        <v>0</v>
      </c>
      <c r="AF194" s="27">
        <f aca="true" t="shared" si="212" ref="AF194:AF240">IF(AP194="2",BH194,0)</f>
        <v>0</v>
      </c>
      <c r="AG194" s="27">
        <f aca="true" t="shared" si="213" ref="AG194:AG240">IF(AP194="0",BI194,0)</f>
        <v>0</v>
      </c>
      <c r="AH194" s="17"/>
      <c r="AI194" s="26">
        <f aca="true" t="shared" si="214" ref="AI194:AI240">IF(AM194=0,J194,0)</f>
        <v>0</v>
      </c>
      <c r="AJ194" s="26">
        <f aca="true" t="shared" si="215" ref="AJ194:AJ240">IF(AM194=15,J194,0)</f>
        <v>0</v>
      </c>
      <c r="AK194" s="26">
        <f aca="true" t="shared" si="216" ref="AK194:AK240">IF(AM194=21,J194,0)</f>
        <v>0</v>
      </c>
      <c r="AM194" s="27">
        <v>21</v>
      </c>
      <c r="AN194" s="27">
        <f>G194*0.24563614744352</f>
        <v>0</v>
      </c>
      <c r="AO194" s="27">
        <f>G194*(1-0.24563614744352)</f>
        <v>0</v>
      </c>
      <c r="AP194" s="28" t="s">
        <v>13</v>
      </c>
      <c r="AU194" s="27">
        <f aca="true" t="shared" si="217" ref="AU194:AU240">AV194+AW194</f>
        <v>0</v>
      </c>
      <c r="AV194" s="27">
        <f aca="true" t="shared" si="218" ref="AV194:AV240">F194*AN194</f>
        <v>0</v>
      </c>
      <c r="AW194" s="27">
        <f aca="true" t="shared" si="219" ref="AW194:AW240">F194*AO194</f>
        <v>0</v>
      </c>
      <c r="AX194" s="29" t="s">
        <v>787</v>
      </c>
      <c r="AY194" s="29" t="s">
        <v>794</v>
      </c>
      <c r="AZ194" s="17" t="s">
        <v>796</v>
      </c>
      <c r="BB194" s="27">
        <f aca="true" t="shared" si="220" ref="BB194:BB240">AV194+AW194</f>
        <v>0</v>
      </c>
      <c r="BC194" s="27">
        <f aca="true" t="shared" si="221" ref="BC194:BC240">G194/(100-BD194)*100</f>
        <v>0</v>
      </c>
      <c r="BD194" s="27">
        <v>0</v>
      </c>
      <c r="BE194" s="27">
        <f aca="true" t="shared" si="222" ref="BE194:BE240">L194</f>
        <v>0</v>
      </c>
      <c r="BG194" s="26">
        <f aca="true" t="shared" si="223" ref="BG194:BG240">F194*AN194</f>
        <v>0</v>
      </c>
      <c r="BH194" s="26">
        <f aca="true" t="shared" si="224" ref="BH194:BH240">F194*AO194</f>
        <v>0</v>
      </c>
      <c r="BI194" s="26">
        <f aca="true" t="shared" si="225" ref="BI194:BI240">F194*G194</f>
        <v>0</v>
      </c>
    </row>
    <row r="195" spans="1:61" ht="12.75" hidden="1">
      <c r="A195" s="24" t="s">
        <v>169</v>
      </c>
      <c r="B195" s="25"/>
      <c r="C195" s="25" t="s">
        <v>418</v>
      </c>
      <c r="D195" s="25" t="s">
        <v>666</v>
      </c>
      <c r="E195" s="25" t="s">
        <v>750</v>
      </c>
      <c r="F195" s="49"/>
      <c r="G195" s="26">
        <f>'Smluvní ceník'!G195</f>
        <v>0</v>
      </c>
      <c r="H195" s="26">
        <f t="shared" si="202"/>
        <v>0</v>
      </c>
      <c r="I195" s="26">
        <f t="shared" si="203"/>
        <v>0</v>
      </c>
      <c r="J195" s="26">
        <f t="shared" si="204"/>
        <v>0</v>
      </c>
      <c r="K195" s="26">
        <v>0.00054</v>
      </c>
      <c r="L195" s="26">
        <f t="shared" si="205"/>
        <v>0</v>
      </c>
      <c r="Y195" s="27">
        <f t="shared" si="206"/>
        <v>0</v>
      </c>
      <c r="AA195" s="27">
        <f t="shared" si="207"/>
        <v>0</v>
      </c>
      <c r="AB195" s="27">
        <f t="shared" si="208"/>
        <v>0</v>
      </c>
      <c r="AC195" s="27">
        <f t="shared" si="209"/>
        <v>0</v>
      </c>
      <c r="AD195" s="27">
        <f t="shared" si="210"/>
        <v>0</v>
      </c>
      <c r="AE195" s="27">
        <f t="shared" si="211"/>
        <v>0</v>
      </c>
      <c r="AF195" s="27">
        <f t="shared" si="212"/>
        <v>0</v>
      </c>
      <c r="AG195" s="27">
        <f t="shared" si="213"/>
        <v>0</v>
      </c>
      <c r="AH195" s="17"/>
      <c r="AI195" s="26">
        <f t="shared" si="214"/>
        <v>0</v>
      </c>
      <c r="AJ195" s="26">
        <f t="shared" si="215"/>
        <v>0</v>
      </c>
      <c r="AK195" s="26">
        <f t="shared" si="216"/>
        <v>0</v>
      </c>
      <c r="AM195" s="27">
        <v>21</v>
      </c>
      <c r="AN195" s="27">
        <f>G195*0.21150745382026</f>
        <v>0</v>
      </c>
      <c r="AO195" s="27">
        <f>G195*(1-0.21150745382026)</f>
        <v>0</v>
      </c>
      <c r="AP195" s="28" t="s">
        <v>13</v>
      </c>
      <c r="AU195" s="27">
        <f t="shared" si="217"/>
        <v>0</v>
      </c>
      <c r="AV195" s="27">
        <f t="shared" si="218"/>
        <v>0</v>
      </c>
      <c r="AW195" s="27">
        <f t="shared" si="219"/>
        <v>0</v>
      </c>
      <c r="AX195" s="29" t="s">
        <v>787</v>
      </c>
      <c r="AY195" s="29" t="s">
        <v>794</v>
      </c>
      <c r="AZ195" s="17" t="s">
        <v>796</v>
      </c>
      <c r="BB195" s="27">
        <f t="shared" si="220"/>
        <v>0</v>
      </c>
      <c r="BC195" s="27">
        <f t="shared" si="221"/>
        <v>0</v>
      </c>
      <c r="BD195" s="27">
        <v>0</v>
      </c>
      <c r="BE195" s="27">
        <f t="shared" si="222"/>
        <v>0</v>
      </c>
      <c r="BG195" s="26">
        <f t="shared" si="223"/>
        <v>0</v>
      </c>
      <c r="BH195" s="26">
        <f t="shared" si="224"/>
        <v>0</v>
      </c>
      <c r="BI195" s="26">
        <f t="shared" si="225"/>
        <v>0</v>
      </c>
    </row>
    <row r="196" spans="1:61" ht="12.75">
      <c r="A196" s="24" t="s">
        <v>170</v>
      </c>
      <c r="B196" s="25"/>
      <c r="C196" s="25" t="s">
        <v>419</v>
      </c>
      <c r="D196" s="25" t="s">
        <v>667</v>
      </c>
      <c r="E196" s="25" t="s">
        <v>750</v>
      </c>
      <c r="F196" s="47">
        <v>10</v>
      </c>
      <c r="G196" s="26">
        <f>'Smluvní ceník'!G196</f>
        <v>0</v>
      </c>
      <c r="H196" s="26">
        <f t="shared" si="202"/>
        <v>0</v>
      </c>
      <c r="I196" s="26">
        <f t="shared" si="203"/>
        <v>0</v>
      </c>
      <c r="J196" s="26">
        <f t="shared" si="204"/>
        <v>0</v>
      </c>
      <c r="K196" s="26">
        <v>0.00062</v>
      </c>
      <c r="L196" s="26">
        <f t="shared" si="205"/>
        <v>0.0062</v>
      </c>
      <c r="Y196" s="27">
        <f t="shared" si="206"/>
        <v>0</v>
      </c>
      <c r="AA196" s="27">
        <f t="shared" si="207"/>
        <v>0</v>
      </c>
      <c r="AB196" s="27">
        <f t="shared" si="208"/>
        <v>0</v>
      </c>
      <c r="AC196" s="27">
        <f t="shared" si="209"/>
        <v>0</v>
      </c>
      <c r="AD196" s="27">
        <f t="shared" si="210"/>
        <v>0</v>
      </c>
      <c r="AE196" s="27">
        <f t="shared" si="211"/>
        <v>0</v>
      </c>
      <c r="AF196" s="27">
        <f t="shared" si="212"/>
        <v>0</v>
      </c>
      <c r="AG196" s="27">
        <f t="shared" si="213"/>
        <v>0</v>
      </c>
      <c r="AH196" s="17"/>
      <c r="AI196" s="26">
        <f t="shared" si="214"/>
        <v>0</v>
      </c>
      <c r="AJ196" s="26">
        <f t="shared" si="215"/>
        <v>0</v>
      </c>
      <c r="AK196" s="26">
        <f t="shared" si="216"/>
        <v>0</v>
      </c>
      <c r="AM196" s="27">
        <v>21</v>
      </c>
      <c r="AN196" s="27">
        <f>G196*0.209061148414538</f>
        <v>0</v>
      </c>
      <c r="AO196" s="27">
        <f>G196*(1-0.209061148414538)</f>
        <v>0</v>
      </c>
      <c r="AP196" s="28" t="s">
        <v>13</v>
      </c>
      <c r="AU196" s="27">
        <f t="shared" si="217"/>
        <v>0</v>
      </c>
      <c r="AV196" s="27">
        <f t="shared" si="218"/>
        <v>0</v>
      </c>
      <c r="AW196" s="27">
        <f t="shared" si="219"/>
        <v>0</v>
      </c>
      <c r="AX196" s="29" t="s">
        <v>787</v>
      </c>
      <c r="AY196" s="29" t="s">
        <v>794</v>
      </c>
      <c r="AZ196" s="17" t="s">
        <v>796</v>
      </c>
      <c r="BB196" s="27">
        <f t="shared" si="220"/>
        <v>0</v>
      </c>
      <c r="BC196" s="27">
        <f t="shared" si="221"/>
        <v>0</v>
      </c>
      <c r="BD196" s="27">
        <v>0</v>
      </c>
      <c r="BE196" s="27">
        <f t="shared" si="222"/>
        <v>0.0062</v>
      </c>
      <c r="BG196" s="26">
        <f t="shared" si="223"/>
        <v>0</v>
      </c>
      <c r="BH196" s="26">
        <f t="shared" si="224"/>
        <v>0</v>
      </c>
      <c r="BI196" s="26">
        <f t="shared" si="225"/>
        <v>0</v>
      </c>
    </row>
    <row r="197" spans="1:61" ht="12.75" hidden="1">
      <c r="A197" s="24" t="s">
        <v>171</v>
      </c>
      <c r="B197" s="25"/>
      <c r="C197" s="25" t="s">
        <v>420</v>
      </c>
      <c r="D197" s="25" t="s">
        <v>668</v>
      </c>
      <c r="E197" s="25" t="s">
        <v>750</v>
      </c>
      <c r="F197" s="47">
        <v>0</v>
      </c>
      <c r="G197" s="26">
        <f>'Smluvní ceník'!G197</f>
        <v>0</v>
      </c>
      <c r="H197" s="26">
        <f t="shared" si="202"/>
        <v>0</v>
      </c>
      <c r="I197" s="26">
        <f t="shared" si="203"/>
        <v>0</v>
      </c>
      <c r="J197" s="26">
        <f t="shared" si="204"/>
        <v>0</v>
      </c>
      <c r="K197" s="26">
        <v>0.00022</v>
      </c>
      <c r="L197" s="26">
        <f t="shared" si="205"/>
        <v>0</v>
      </c>
      <c r="Y197" s="27">
        <f t="shared" si="206"/>
        <v>0</v>
      </c>
      <c r="AA197" s="27">
        <f t="shared" si="207"/>
        <v>0</v>
      </c>
      <c r="AB197" s="27">
        <f t="shared" si="208"/>
        <v>0</v>
      </c>
      <c r="AC197" s="27">
        <f t="shared" si="209"/>
        <v>0</v>
      </c>
      <c r="AD197" s="27">
        <f t="shared" si="210"/>
        <v>0</v>
      </c>
      <c r="AE197" s="27">
        <f t="shared" si="211"/>
        <v>0</v>
      </c>
      <c r="AF197" s="27">
        <f t="shared" si="212"/>
        <v>0</v>
      </c>
      <c r="AG197" s="27">
        <f t="shared" si="213"/>
        <v>0</v>
      </c>
      <c r="AH197" s="17"/>
      <c r="AI197" s="26">
        <f t="shared" si="214"/>
        <v>0</v>
      </c>
      <c r="AJ197" s="26">
        <f t="shared" si="215"/>
        <v>0</v>
      </c>
      <c r="AK197" s="26">
        <f t="shared" si="216"/>
        <v>0</v>
      </c>
      <c r="AM197" s="27">
        <v>21</v>
      </c>
      <c r="AN197" s="27">
        <f>G197*0.223854613392213</f>
        <v>0</v>
      </c>
      <c r="AO197" s="27">
        <f>G197*(1-0.223854613392213)</f>
        <v>0</v>
      </c>
      <c r="AP197" s="28" t="s">
        <v>13</v>
      </c>
      <c r="AU197" s="27">
        <f t="shared" si="217"/>
        <v>0</v>
      </c>
      <c r="AV197" s="27">
        <f t="shared" si="218"/>
        <v>0</v>
      </c>
      <c r="AW197" s="27">
        <f t="shared" si="219"/>
        <v>0</v>
      </c>
      <c r="AX197" s="29" t="s">
        <v>787</v>
      </c>
      <c r="AY197" s="29" t="s">
        <v>794</v>
      </c>
      <c r="AZ197" s="17" t="s">
        <v>796</v>
      </c>
      <c r="BB197" s="27">
        <f t="shared" si="220"/>
        <v>0</v>
      </c>
      <c r="BC197" s="27">
        <f t="shared" si="221"/>
        <v>0</v>
      </c>
      <c r="BD197" s="27">
        <v>0</v>
      </c>
      <c r="BE197" s="27">
        <f t="shared" si="222"/>
        <v>0</v>
      </c>
      <c r="BG197" s="26">
        <f t="shared" si="223"/>
        <v>0</v>
      </c>
      <c r="BH197" s="26">
        <f t="shared" si="224"/>
        <v>0</v>
      </c>
      <c r="BI197" s="26">
        <f t="shared" si="225"/>
        <v>0</v>
      </c>
    </row>
    <row r="198" spans="1:61" ht="12.75" hidden="1">
      <c r="A198" s="24" t="s">
        <v>172</v>
      </c>
      <c r="B198" s="25"/>
      <c r="C198" s="25" t="s">
        <v>421</v>
      </c>
      <c r="D198" s="25" t="s">
        <v>669</v>
      </c>
      <c r="E198" s="25" t="s">
        <v>750</v>
      </c>
      <c r="F198" s="47">
        <v>0</v>
      </c>
      <c r="G198" s="26">
        <f>'Smluvní ceník'!G198</f>
        <v>0</v>
      </c>
      <c r="H198" s="26">
        <f t="shared" si="202"/>
        <v>0</v>
      </c>
      <c r="I198" s="26">
        <f t="shared" si="203"/>
        <v>0</v>
      </c>
      <c r="J198" s="26">
        <f t="shared" si="204"/>
        <v>0</v>
      </c>
      <c r="K198" s="26">
        <v>0.00031</v>
      </c>
      <c r="L198" s="26">
        <f t="shared" si="205"/>
        <v>0</v>
      </c>
      <c r="Y198" s="27">
        <f t="shared" si="206"/>
        <v>0</v>
      </c>
      <c r="AA198" s="27">
        <f t="shared" si="207"/>
        <v>0</v>
      </c>
      <c r="AB198" s="27">
        <f t="shared" si="208"/>
        <v>0</v>
      </c>
      <c r="AC198" s="27">
        <f t="shared" si="209"/>
        <v>0</v>
      </c>
      <c r="AD198" s="27">
        <f t="shared" si="210"/>
        <v>0</v>
      </c>
      <c r="AE198" s="27">
        <f t="shared" si="211"/>
        <v>0</v>
      </c>
      <c r="AF198" s="27">
        <f t="shared" si="212"/>
        <v>0</v>
      </c>
      <c r="AG198" s="27">
        <f t="shared" si="213"/>
        <v>0</v>
      </c>
      <c r="AH198" s="17"/>
      <c r="AI198" s="26">
        <f t="shared" si="214"/>
        <v>0</v>
      </c>
      <c r="AJ198" s="26">
        <f t="shared" si="215"/>
        <v>0</v>
      </c>
      <c r="AK198" s="26">
        <f t="shared" si="216"/>
        <v>0</v>
      </c>
      <c r="AM198" s="27">
        <v>21</v>
      </c>
      <c r="AN198" s="27">
        <f>G198*0.105912626469384</f>
        <v>0</v>
      </c>
      <c r="AO198" s="27">
        <f>G198*(1-0.105912626469384)</f>
        <v>0</v>
      </c>
      <c r="AP198" s="28" t="s">
        <v>13</v>
      </c>
      <c r="AU198" s="27">
        <f t="shared" si="217"/>
        <v>0</v>
      </c>
      <c r="AV198" s="27">
        <f t="shared" si="218"/>
        <v>0</v>
      </c>
      <c r="AW198" s="27">
        <f t="shared" si="219"/>
        <v>0</v>
      </c>
      <c r="AX198" s="29" t="s">
        <v>787</v>
      </c>
      <c r="AY198" s="29" t="s">
        <v>794</v>
      </c>
      <c r="AZ198" s="17" t="s">
        <v>796</v>
      </c>
      <c r="BB198" s="27">
        <f t="shared" si="220"/>
        <v>0</v>
      </c>
      <c r="BC198" s="27">
        <f t="shared" si="221"/>
        <v>0</v>
      </c>
      <c r="BD198" s="27">
        <v>0</v>
      </c>
      <c r="BE198" s="27">
        <f t="shared" si="222"/>
        <v>0</v>
      </c>
      <c r="BG198" s="26">
        <f t="shared" si="223"/>
        <v>0</v>
      </c>
      <c r="BH198" s="26">
        <f t="shared" si="224"/>
        <v>0</v>
      </c>
      <c r="BI198" s="26">
        <f t="shared" si="225"/>
        <v>0</v>
      </c>
    </row>
    <row r="199" spans="1:61" ht="12.75">
      <c r="A199" s="24" t="s">
        <v>173</v>
      </c>
      <c r="B199" s="25"/>
      <c r="C199" s="25" t="s">
        <v>422</v>
      </c>
      <c r="D199" s="25" t="s">
        <v>670</v>
      </c>
      <c r="E199" s="25" t="s">
        <v>750</v>
      </c>
      <c r="F199" s="47">
        <v>20</v>
      </c>
      <c r="G199" s="26">
        <f>'Smluvní ceník'!G199</f>
        <v>0</v>
      </c>
      <c r="H199" s="26">
        <f t="shared" si="202"/>
        <v>0</v>
      </c>
      <c r="I199" s="26">
        <f t="shared" si="203"/>
        <v>0</v>
      </c>
      <c r="J199" s="26">
        <f t="shared" si="204"/>
        <v>0</v>
      </c>
      <c r="K199" s="26">
        <v>1E-05</v>
      </c>
      <c r="L199" s="26">
        <f t="shared" si="205"/>
        <v>0.0002</v>
      </c>
      <c r="Y199" s="27">
        <f t="shared" si="206"/>
        <v>0</v>
      </c>
      <c r="AA199" s="27">
        <f t="shared" si="207"/>
        <v>0</v>
      </c>
      <c r="AB199" s="27">
        <f t="shared" si="208"/>
        <v>0</v>
      </c>
      <c r="AC199" s="27">
        <f t="shared" si="209"/>
        <v>0</v>
      </c>
      <c r="AD199" s="27">
        <f t="shared" si="210"/>
        <v>0</v>
      </c>
      <c r="AE199" s="27">
        <f t="shared" si="211"/>
        <v>0</v>
      </c>
      <c r="AF199" s="27">
        <f t="shared" si="212"/>
        <v>0</v>
      </c>
      <c r="AG199" s="27">
        <f t="shared" si="213"/>
        <v>0</v>
      </c>
      <c r="AH199" s="17"/>
      <c r="AI199" s="26">
        <f t="shared" si="214"/>
        <v>0</v>
      </c>
      <c r="AJ199" s="26">
        <f t="shared" si="215"/>
        <v>0</v>
      </c>
      <c r="AK199" s="26">
        <f t="shared" si="216"/>
        <v>0</v>
      </c>
      <c r="AM199" s="27">
        <v>21</v>
      </c>
      <c r="AN199" s="27">
        <f>G199*0.0276631885464693</f>
        <v>0</v>
      </c>
      <c r="AO199" s="27">
        <f>G199*(1-0.0276631885464693)</f>
        <v>0</v>
      </c>
      <c r="AP199" s="28" t="s">
        <v>13</v>
      </c>
      <c r="AU199" s="27">
        <f t="shared" si="217"/>
        <v>0</v>
      </c>
      <c r="AV199" s="27">
        <f t="shared" si="218"/>
        <v>0</v>
      </c>
      <c r="AW199" s="27">
        <f t="shared" si="219"/>
        <v>0</v>
      </c>
      <c r="AX199" s="29" t="s">
        <v>787</v>
      </c>
      <c r="AY199" s="29" t="s">
        <v>794</v>
      </c>
      <c r="AZ199" s="17" t="s">
        <v>796</v>
      </c>
      <c r="BB199" s="27">
        <f t="shared" si="220"/>
        <v>0</v>
      </c>
      <c r="BC199" s="27">
        <f t="shared" si="221"/>
        <v>0</v>
      </c>
      <c r="BD199" s="27">
        <v>0</v>
      </c>
      <c r="BE199" s="27">
        <f t="shared" si="222"/>
        <v>0.0002</v>
      </c>
      <c r="BG199" s="26">
        <f t="shared" si="223"/>
        <v>0</v>
      </c>
      <c r="BH199" s="26">
        <f t="shared" si="224"/>
        <v>0</v>
      </c>
      <c r="BI199" s="26">
        <f t="shared" si="225"/>
        <v>0</v>
      </c>
    </row>
    <row r="200" spans="1:61" ht="12.75">
      <c r="A200" s="24" t="s">
        <v>174</v>
      </c>
      <c r="B200" s="25"/>
      <c r="C200" s="25" t="s">
        <v>423</v>
      </c>
      <c r="D200" s="25" t="s">
        <v>671</v>
      </c>
      <c r="E200" s="25" t="s">
        <v>750</v>
      </c>
      <c r="F200" s="47">
        <v>10</v>
      </c>
      <c r="G200" s="26">
        <f>'Smluvní ceník'!G200</f>
        <v>0</v>
      </c>
      <c r="H200" s="26">
        <f t="shared" si="202"/>
        <v>0</v>
      </c>
      <c r="I200" s="26">
        <f t="shared" si="203"/>
        <v>0</v>
      </c>
      <c r="J200" s="26">
        <f t="shared" si="204"/>
        <v>0</v>
      </c>
      <c r="K200" s="26">
        <v>7E-05</v>
      </c>
      <c r="L200" s="26">
        <f t="shared" si="205"/>
        <v>0.0006999999999999999</v>
      </c>
      <c r="Y200" s="27">
        <f t="shared" si="206"/>
        <v>0</v>
      </c>
      <c r="AA200" s="27">
        <f t="shared" si="207"/>
        <v>0</v>
      </c>
      <c r="AB200" s="27">
        <f t="shared" si="208"/>
        <v>0</v>
      </c>
      <c r="AC200" s="27">
        <f t="shared" si="209"/>
        <v>0</v>
      </c>
      <c r="AD200" s="27">
        <f t="shared" si="210"/>
        <v>0</v>
      </c>
      <c r="AE200" s="27">
        <f t="shared" si="211"/>
        <v>0</v>
      </c>
      <c r="AF200" s="27">
        <f t="shared" si="212"/>
        <v>0</v>
      </c>
      <c r="AG200" s="27">
        <f t="shared" si="213"/>
        <v>0</v>
      </c>
      <c r="AH200" s="17"/>
      <c r="AI200" s="26">
        <f t="shared" si="214"/>
        <v>0</v>
      </c>
      <c r="AJ200" s="26">
        <f t="shared" si="215"/>
        <v>0</v>
      </c>
      <c r="AK200" s="26">
        <f t="shared" si="216"/>
        <v>0</v>
      </c>
      <c r="AM200" s="27">
        <v>21</v>
      </c>
      <c r="AN200" s="27">
        <f>G200*0.0694300518134715</f>
        <v>0</v>
      </c>
      <c r="AO200" s="27">
        <f>G200*(1-0.0694300518134715)</f>
        <v>0</v>
      </c>
      <c r="AP200" s="28" t="s">
        <v>13</v>
      </c>
      <c r="AU200" s="27">
        <f t="shared" si="217"/>
        <v>0</v>
      </c>
      <c r="AV200" s="27">
        <f t="shared" si="218"/>
        <v>0</v>
      </c>
      <c r="AW200" s="27">
        <f t="shared" si="219"/>
        <v>0</v>
      </c>
      <c r="AX200" s="29" t="s">
        <v>787</v>
      </c>
      <c r="AY200" s="29" t="s">
        <v>794</v>
      </c>
      <c r="AZ200" s="17" t="s">
        <v>796</v>
      </c>
      <c r="BB200" s="27">
        <f t="shared" si="220"/>
        <v>0</v>
      </c>
      <c r="BC200" s="27">
        <f t="shared" si="221"/>
        <v>0</v>
      </c>
      <c r="BD200" s="27">
        <v>0</v>
      </c>
      <c r="BE200" s="27">
        <f t="shared" si="222"/>
        <v>0.0006999999999999999</v>
      </c>
      <c r="BG200" s="26">
        <f t="shared" si="223"/>
        <v>0</v>
      </c>
      <c r="BH200" s="26">
        <f t="shared" si="224"/>
        <v>0</v>
      </c>
      <c r="BI200" s="26">
        <f t="shared" si="225"/>
        <v>0</v>
      </c>
    </row>
    <row r="201" spans="1:61" ht="12.75">
      <c r="A201" s="24" t="s">
        <v>175</v>
      </c>
      <c r="B201" s="25"/>
      <c r="C201" s="25" t="s">
        <v>424</v>
      </c>
      <c r="D201" s="25" t="s">
        <v>672</v>
      </c>
      <c r="E201" s="25" t="s">
        <v>750</v>
      </c>
      <c r="F201" s="47">
        <v>10</v>
      </c>
      <c r="G201" s="26">
        <f>'Smluvní ceník'!G201</f>
        <v>0</v>
      </c>
      <c r="H201" s="26">
        <f t="shared" si="202"/>
        <v>0</v>
      </c>
      <c r="I201" s="26">
        <f t="shared" si="203"/>
        <v>0</v>
      </c>
      <c r="J201" s="26">
        <f t="shared" si="204"/>
        <v>0</v>
      </c>
      <c r="K201" s="26">
        <v>0.00063</v>
      </c>
      <c r="L201" s="26">
        <f t="shared" si="205"/>
        <v>0.0063</v>
      </c>
      <c r="Y201" s="27">
        <f t="shared" si="206"/>
        <v>0</v>
      </c>
      <c r="AA201" s="27">
        <f t="shared" si="207"/>
        <v>0</v>
      </c>
      <c r="AB201" s="27">
        <f t="shared" si="208"/>
        <v>0</v>
      </c>
      <c r="AC201" s="27">
        <f t="shared" si="209"/>
        <v>0</v>
      </c>
      <c r="AD201" s="27">
        <f t="shared" si="210"/>
        <v>0</v>
      </c>
      <c r="AE201" s="27">
        <f t="shared" si="211"/>
        <v>0</v>
      </c>
      <c r="AF201" s="27">
        <f t="shared" si="212"/>
        <v>0</v>
      </c>
      <c r="AG201" s="27">
        <f t="shared" si="213"/>
        <v>0</v>
      </c>
      <c r="AH201" s="17"/>
      <c r="AI201" s="26">
        <f t="shared" si="214"/>
        <v>0</v>
      </c>
      <c r="AJ201" s="26">
        <f t="shared" si="215"/>
        <v>0</v>
      </c>
      <c r="AK201" s="26">
        <f t="shared" si="216"/>
        <v>0</v>
      </c>
      <c r="AM201" s="27">
        <v>21</v>
      </c>
      <c r="AN201" s="27">
        <f>G201*0.171919366501473</f>
        <v>0</v>
      </c>
      <c r="AO201" s="27">
        <f>G201*(1-0.171919366501473)</f>
        <v>0</v>
      </c>
      <c r="AP201" s="28" t="s">
        <v>13</v>
      </c>
      <c r="AU201" s="27">
        <f t="shared" si="217"/>
        <v>0</v>
      </c>
      <c r="AV201" s="27">
        <f t="shared" si="218"/>
        <v>0</v>
      </c>
      <c r="AW201" s="27">
        <f t="shared" si="219"/>
        <v>0</v>
      </c>
      <c r="AX201" s="29" t="s">
        <v>787</v>
      </c>
      <c r="AY201" s="29" t="s">
        <v>794</v>
      </c>
      <c r="AZ201" s="17" t="s">
        <v>796</v>
      </c>
      <c r="BB201" s="27">
        <f t="shared" si="220"/>
        <v>0</v>
      </c>
      <c r="BC201" s="27">
        <f t="shared" si="221"/>
        <v>0</v>
      </c>
      <c r="BD201" s="27">
        <v>0</v>
      </c>
      <c r="BE201" s="27">
        <f t="shared" si="222"/>
        <v>0.0063</v>
      </c>
      <c r="BG201" s="26">
        <f t="shared" si="223"/>
        <v>0</v>
      </c>
      <c r="BH201" s="26">
        <f t="shared" si="224"/>
        <v>0</v>
      </c>
      <c r="BI201" s="26">
        <f t="shared" si="225"/>
        <v>0</v>
      </c>
    </row>
    <row r="202" spans="1:61" ht="12.75">
      <c r="A202" s="24" t="s">
        <v>176</v>
      </c>
      <c r="B202" s="25"/>
      <c r="C202" s="25" t="s">
        <v>425</v>
      </c>
      <c r="D202" s="25" t="s">
        <v>673</v>
      </c>
      <c r="E202" s="25" t="s">
        <v>750</v>
      </c>
      <c r="F202" s="47">
        <v>20</v>
      </c>
      <c r="G202" s="26">
        <f>'Smluvní ceník'!G202</f>
        <v>0</v>
      </c>
      <c r="H202" s="26">
        <f t="shared" si="202"/>
        <v>0</v>
      </c>
      <c r="I202" s="26">
        <f t="shared" si="203"/>
        <v>0</v>
      </c>
      <c r="J202" s="26">
        <f t="shared" si="204"/>
        <v>0</v>
      </c>
      <c r="K202" s="26">
        <v>0.00055</v>
      </c>
      <c r="L202" s="26">
        <f t="shared" si="205"/>
        <v>0.011000000000000001</v>
      </c>
      <c r="Y202" s="27">
        <f t="shared" si="206"/>
        <v>0</v>
      </c>
      <c r="AA202" s="27">
        <f t="shared" si="207"/>
        <v>0</v>
      </c>
      <c r="AB202" s="27">
        <f t="shared" si="208"/>
        <v>0</v>
      </c>
      <c r="AC202" s="27">
        <f t="shared" si="209"/>
        <v>0</v>
      </c>
      <c r="AD202" s="27">
        <f t="shared" si="210"/>
        <v>0</v>
      </c>
      <c r="AE202" s="27">
        <f t="shared" si="211"/>
        <v>0</v>
      </c>
      <c r="AF202" s="27">
        <f t="shared" si="212"/>
        <v>0</v>
      </c>
      <c r="AG202" s="27">
        <f t="shared" si="213"/>
        <v>0</v>
      </c>
      <c r="AH202" s="17"/>
      <c r="AI202" s="26">
        <f t="shared" si="214"/>
        <v>0</v>
      </c>
      <c r="AJ202" s="26">
        <f t="shared" si="215"/>
        <v>0</v>
      </c>
      <c r="AK202" s="26">
        <f t="shared" si="216"/>
        <v>0</v>
      </c>
      <c r="AM202" s="27">
        <v>21</v>
      </c>
      <c r="AN202" s="27">
        <f>G202*0.173610223642173</f>
        <v>0</v>
      </c>
      <c r="AO202" s="27">
        <f>G202*(1-0.173610223642173)</f>
        <v>0</v>
      </c>
      <c r="AP202" s="28" t="s">
        <v>13</v>
      </c>
      <c r="AU202" s="27">
        <f t="shared" si="217"/>
        <v>0</v>
      </c>
      <c r="AV202" s="27">
        <f t="shared" si="218"/>
        <v>0</v>
      </c>
      <c r="AW202" s="27">
        <f t="shared" si="219"/>
        <v>0</v>
      </c>
      <c r="AX202" s="29" t="s">
        <v>787</v>
      </c>
      <c r="AY202" s="29" t="s">
        <v>794</v>
      </c>
      <c r="AZ202" s="17" t="s">
        <v>796</v>
      </c>
      <c r="BB202" s="27">
        <f t="shared" si="220"/>
        <v>0</v>
      </c>
      <c r="BC202" s="27">
        <f t="shared" si="221"/>
        <v>0</v>
      </c>
      <c r="BD202" s="27">
        <v>0</v>
      </c>
      <c r="BE202" s="27">
        <f t="shared" si="222"/>
        <v>0.011000000000000001</v>
      </c>
      <c r="BG202" s="26">
        <f t="shared" si="223"/>
        <v>0</v>
      </c>
      <c r="BH202" s="26">
        <f t="shared" si="224"/>
        <v>0</v>
      </c>
      <c r="BI202" s="26">
        <f t="shared" si="225"/>
        <v>0</v>
      </c>
    </row>
    <row r="203" spans="1:61" ht="12.75" hidden="1">
      <c r="A203" s="24" t="s">
        <v>177</v>
      </c>
      <c r="B203" s="25"/>
      <c r="C203" s="25" t="s">
        <v>426</v>
      </c>
      <c r="D203" s="25" t="s">
        <v>674</v>
      </c>
      <c r="E203" s="25" t="s">
        <v>750</v>
      </c>
      <c r="F203" s="47">
        <v>0</v>
      </c>
      <c r="G203" s="26">
        <f>'Smluvní ceník'!G203</f>
        <v>0</v>
      </c>
      <c r="H203" s="26">
        <f t="shared" si="202"/>
        <v>0</v>
      </c>
      <c r="I203" s="26">
        <f t="shared" si="203"/>
        <v>0</v>
      </c>
      <c r="J203" s="26">
        <f t="shared" si="204"/>
        <v>0</v>
      </c>
      <c r="K203" s="26">
        <v>0.00048</v>
      </c>
      <c r="L203" s="26">
        <f t="shared" si="205"/>
        <v>0</v>
      </c>
      <c r="Y203" s="27">
        <f t="shared" si="206"/>
        <v>0</v>
      </c>
      <c r="AA203" s="27">
        <f t="shared" si="207"/>
        <v>0</v>
      </c>
      <c r="AB203" s="27">
        <f t="shared" si="208"/>
        <v>0</v>
      </c>
      <c r="AC203" s="27">
        <f t="shared" si="209"/>
        <v>0</v>
      </c>
      <c r="AD203" s="27">
        <f t="shared" si="210"/>
        <v>0</v>
      </c>
      <c r="AE203" s="27">
        <f t="shared" si="211"/>
        <v>0</v>
      </c>
      <c r="AF203" s="27">
        <f t="shared" si="212"/>
        <v>0</v>
      </c>
      <c r="AG203" s="27">
        <f t="shared" si="213"/>
        <v>0</v>
      </c>
      <c r="AH203" s="17"/>
      <c r="AI203" s="26">
        <f t="shared" si="214"/>
        <v>0</v>
      </c>
      <c r="AJ203" s="26">
        <f t="shared" si="215"/>
        <v>0</v>
      </c>
      <c r="AK203" s="26">
        <f t="shared" si="216"/>
        <v>0</v>
      </c>
      <c r="AM203" s="27">
        <v>21</v>
      </c>
      <c r="AN203" s="27">
        <f>G203*0.183435729673662</f>
        <v>0</v>
      </c>
      <c r="AO203" s="27">
        <f>G203*(1-0.183435729673662)</f>
        <v>0</v>
      </c>
      <c r="AP203" s="28" t="s">
        <v>13</v>
      </c>
      <c r="AU203" s="27">
        <f t="shared" si="217"/>
        <v>0</v>
      </c>
      <c r="AV203" s="27">
        <f t="shared" si="218"/>
        <v>0</v>
      </c>
      <c r="AW203" s="27">
        <f t="shared" si="219"/>
        <v>0</v>
      </c>
      <c r="AX203" s="29" t="s">
        <v>787</v>
      </c>
      <c r="AY203" s="29" t="s">
        <v>794</v>
      </c>
      <c r="AZ203" s="17" t="s">
        <v>796</v>
      </c>
      <c r="BB203" s="27">
        <f t="shared" si="220"/>
        <v>0</v>
      </c>
      <c r="BC203" s="27">
        <f t="shared" si="221"/>
        <v>0</v>
      </c>
      <c r="BD203" s="27">
        <v>0</v>
      </c>
      <c r="BE203" s="27">
        <f t="shared" si="222"/>
        <v>0</v>
      </c>
      <c r="BG203" s="26">
        <f t="shared" si="223"/>
        <v>0</v>
      </c>
      <c r="BH203" s="26">
        <f t="shared" si="224"/>
        <v>0</v>
      </c>
      <c r="BI203" s="26">
        <f t="shared" si="225"/>
        <v>0</v>
      </c>
    </row>
    <row r="204" spans="1:61" ht="12.75" hidden="1">
      <c r="A204" s="24" t="s">
        <v>178</v>
      </c>
      <c r="B204" s="25"/>
      <c r="C204" s="25" t="s">
        <v>427</v>
      </c>
      <c r="D204" s="25" t="s">
        <v>675</v>
      </c>
      <c r="E204" s="25" t="s">
        <v>750</v>
      </c>
      <c r="F204" s="47">
        <v>0</v>
      </c>
      <c r="G204" s="26">
        <f>'Smluvní ceník'!G204</f>
        <v>0</v>
      </c>
      <c r="H204" s="26">
        <f t="shared" si="202"/>
        <v>0</v>
      </c>
      <c r="I204" s="26">
        <f t="shared" si="203"/>
        <v>0</v>
      </c>
      <c r="J204" s="26">
        <f t="shared" si="204"/>
        <v>0</v>
      </c>
      <c r="K204" s="26">
        <v>0.00038</v>
      </c>
      <c r="L204" s="26">
        <f t="shared" si="205"/>
        <v>0</v>
      </c>
      <c r="Y204" s="27">
        <f t="shared" si="206"/>
        <v>0</v>
      </c>
      <c r="AA204" s="27">
        <f t="shared" si="207"/>
        <v>0</v>
      </c>
      <c r="AB204" s="27">
        <f t="shared" si="208"/>
        <v>0</v>
      </c>
      <c r="AC204" s="27">
        <f t="shared" si="209"/>
        <v>0</v>
      </c>
      <c r="AD204" s="27">
        <f t="shared" si="210"/>
        <v>0</v>
      </c>
      <c r="AE204" s="27">
        <f t="shared" si="211"/>
        <v>0</v>
      </c>
      <c r="AF204" s="27">
        <f t="shared" si="212"/>
        <v>0</v>
      </c>
      <c r="AG204" s="27">
        <f t="shared" si="213"/>
        <v>0</v>
      </c>
      <c r="AH204" s="17"/>
      <c r="AI204" s="26">
        <f t="shared" si="214"/>
        <v>0</v>
      </c>
      <c r="AJ204" s="26">
        <f t="shared" si="215"/>
        <v>0</v>
      </c>
      <c r="AK204" s="26">
        <f t="shared" si="216"/>
        <v>0</v>
      </c>
      <c r="AM204" s="27">
        <v>21</v>
      </c>
      <c r="AN204" s="27">
        <f>G204*0.16744943927921</f>
        <v>0</v>
      </c>
      <c r="AO204" s="27">
        <f>G204*(1-0.16744943927921)</f>
        <v>0</v>
      </c>
      <c r="AP204" s="28" t="s">
        <v>13</v>
      </c>
      <c r="AU204" s="27">
        <f t="shared" si="217"/>
        <v>0</v>
      </c>
      <c r="AV204" s="27">
        <f t="shared" si="218"/>
        <v>0</v>
      </c>
      <c r="AW204" s="27">
        <f t="shared" si="219"/>
        <v>0</v>
      </c>
      <c r="AX204" s="29" t="s">
        <v>787</v>
      </c>
      <c r="AY204" s="29" t="s">
        <v>794</v>
      </c>
      <c r="AZ204" s="17" t="s">
        <v>796</v>
      </c>
      <c r="BB204" s="27">
        <f t="shared" si="220"/>
        <v>0</v>
      </c>
      <c r="BC204" s="27">
        <f t="shared" si="221"/>
        <v>0</v>
      </c>
      <c r="BD204" s="27">
        <v>0</v>
      </c>
      <c r="BE204" s="27">
        <f t="shared" si="222"/>
        <v>0</v>
      </c>
      <c r="BG204" s="26">
        <f t="shared" si="223"/>
        <v>0</v>
      </c>
      <c r="BH204" s="26">
        <f t="shared" si="224"/>
        <v>0</v>
      </c>
      <c r="BI204" s="26">
        <f t="shared" si="225"/>
        <v>0</v>
      </c>
    </row>
    <row r="205" spans="1:61" ht="12.75" hidden="1">
      <c r="A205" s="24" t="s">
        <v>179</v>
      </c>
      <c r="B205" s="25"/>
      <c r="C205" s="25" t="s">
        <v>428</v>
      </c>
      <c r="D205" s="25" t="s">
        <v>676</v>
      </c>
      <c r="E205" s="25" t="s">
        <v>750</v>
      </c>
      <c r="F205" s="47">
        <v>0</v>
      </c>
      <c r="G205" s="26">
        <f>'Smluvní ceník'!G205</f>
        <v>0</v>
      </c>
      <c r="H205" s="26">
        <f t="shared" si="202"/>
        <v>0</v>
      </c>
      <c r="I205" s="26">
        <f t="shared" si="203"/>
        <v>0</v>
      </c>
      <c r="J205" s="26">
        <f t="shared" si="204"/>
        <v>0</v>
      </c>
      <c r="K205" s="26">
        <v>0.00031</v>
      </c>
      <c r="L205" s="26">
        <f t="shared" si="205"/>
        <v>0</v>
      </c>
      <c r="Y205" s="27">
        <f t="shared" si="206"/>
        <v>0</v>
      </c>
      <c r="AA205" s="27">
        <f t="shared" si="207"/>
        <v>0</v>
      </c>
      <c r="AB205" s="27">
        <f t="shared" si="208"/>
        <v>0</v>
      </c>
      <c r="AC205" s="27">
        <f t="shared" si="209"/>
        <v>0</v>
      </c>
      <c r="AD205" s="27">
        <f t="shared" si="210"/>
        <v>0</v>
      </c>
      <c r="AE205" s="27">
        <f t="shared" si="211"/>
        <v>0</v>
      </c>
      <c r="AF205" s="27">
        <f t="shared" si="212"/>
        <v>0</v>
      </c>
      <c r="AG205" s="27">
        <f t="shared" si="213"/>
        <v>0</v>
      </c>
      <c r="AH205" s="17"/>
      <c r="AI205" s="26">
        <f t="shared" si="214"/>
        <v>0</v>
      </c>
      <c r="AJ205" s="26">
        <f t="shared" si="215"/>
        <v>0</v>
      </c>
      <c r="AK205" s="26">
        <f t="shared" si="216"/>
        <v>0</v>
      </c>
      <c r="AM205" s="27">
        <v>21</v>
      </c>
      <c r="AN205" s="27">
        <f>G205*0.17002132196162</f>
        <v>0</v>
      </c>
      <c r="AO205" s="27">
        <f>G205*(1-0.17002132196162)</f>
        <v>0</v>
      </c>
      <c r="AP205" s="28" t="s">
        <v>13</v>
      </c>
      <c r="AU205" s="27">
        <f t="shared" si="217"/>
        <v>0</v>
      </c>
      <c r="AV205" s="27">
        <f t="shared" si="218"/>
        <v>0</v>
      </c>
      <c r="AW205" s="27">
        <f t="shared" si="219"/>
        <v>0</v>
      </c>
      <c r="AX205" s="29" t="s">
        <v>787</v>
      </c>
      <c r="AY205" s="29" t="s">
        <v>794</v>
      </c>
      <c r="AZ205" s="17" t="s">
        <v>796</v>
      </c>
      <c r="BB205" s="27">
        <f t="shared" si="220"/>
        <v>0</v>
      </c>
      <c r="BC205" s="27">
        <f t="shared" si="221"/>
        <v>0</v>
      </c>
      <c r="BD205" s="27">
        <v>0</v>
      </c>
      <c r="BE205" s="27">
        <f t="shared" si="222"/>
        <v>0</v>
      </c>
      <c r="BG205" s="26">
        <f t="shared" si="223"/>
        <v>0</v>
      </c>
      <c r="BH205" s="26">
        <f t="shared" si="224"/>
        <v>0</v>
      </c>
      <c r="BI205" s="26">
        <f t="shared" si="225"/>
        <v>0</v>
      </c>
    </row>
    <row r="206" spans="1:61" ht="12.75" hidden="1">
      <c r="A206" s="24" t="s">
        <v>180</v>
      </c>
      <c r="B206" s="25"/>
      <c r="C206" s="25" t="s">
        <v>429</v>
      </c>
      <c r="D206" s="25" t="s">
        <v>677</v>
      </c>
      <c r="E206" s="25" t="s">
        <v>750</v>
      </c>
      <c r="F206" s="47">
        <v>0</v>
      </c>
      <c r="G206" s="26">
        <f>'Smluvní ceník'!G206</f>
        <v>0</v>
      </c>
      <c r="H206" s="26">
        <f t="shared" si="202"/>
        <v>0</v>
      </c>
      <c r="I206" s="26">
        <f t="shared" si="203"/>
        <v>0</v>
      </c>
      <c r="J206" s="26">
        <f t="shared" si="204"/>
        <v>0</v>
      </c>
      <c r="K206" s="26">
        <v>0.00034</v>
      </c>
      <c r="L206" s="26">
        <f t="shared" si="205"/>
        <v>0</v>
      </c>
      <c r="Y206" s="27">
        <f t="shared" si="206"/>
        <v>0</v>
      </c>
      <c r="AA206" s="27">
        <f t="shared" si="207"/>
        <v>0</v>
      </c>
      <c r="AB206" s="27">
        <f t="shared" si="208"/>
        <v>0</v>
      </c>
      <c r="AC206" s="27">
        <f t="shared" si="209"/>
        <v>0</v>
      </c>
      <c r="AD206" s="27">
        <f t="shared" si="210"/>
        <v>0</v>
      </c>
      <c r="AE206" s="27">
        <f t="shared" si="211"/>
        <v>0</v>
      </c>
      <c r="AF206" s="27">
        <f t="shared" si="212"/>
        <v>0</v>
      </c>
      <c r="AG206" s="27">
        <f t="shared" si="213"/>
        <v>0</v>
      </c>
      <c r="AH206" s="17"/>
      <c r="AI206" s="26">
        <f t="shared" si="214"/>
        <v>0</v>
      </c>
      <c r="AJ206" s="26">
        <f t="shared" si="215"/>
        <v>0</v>
      </c>
      <c r="AK206" s="26">
        <f t="shared" si="216"/>
        <v>0</v>
      </c>
      <c r="AM206" s="27">
        <v>21</v>
      </c>
      <c r="AN206" s="27">
        <f>G206*0.153647469458988</f>
        <v>0</v>
      </c>
      <c r="AO206" s="27">
        <f>G206*(1-0.153647469458988)</f>
        <v>0</v>
      </c>
      <c r="AP206" s="28" t="s">
        <v>13</v>
      </c>
      <c r="AU206" s="27">
        <f t="shared" si="217"/>
        <v>0</v>
      </c>
      <c r="AV206" s="27">
        <f t="shared" si="218"/>
        <v>0</v>
      </c>
      <c r="AW206" s="27">
        <f t="shared" si="219"/>
        <v>0</v>
      </c>
      <c r="AX206" s="29" t="s">
        <v>787</v>
      </c>
      <c r="AY206" s="29" t="s">
        <v>794</v>
      </c>
      <c r="AZ206" s="17" t="s">
        <v>796</v>
      </c>
      <c r="BB206" s="27">
        <f t="shared" si="220"/>
        <v>0</v>
      </c>
      <c r="BC206" s="27">
        <f t="shared" si="221"/>
        <v>0</v>
      </c>
      <c r="BD206" s="27">
        <v>0</v>
      </c>
      <c r="BE206" s="27">
        <f t="shared" si="222"/>
        <v>0</v>
      </c>
      <c r="BG206" s="26">
        <f t="shared" si="223"/>
        <v>0</v>
      </c>
      <c r="BH206" s="26">
        <f t="shared" si="224"/>
        <v>0</v>
      </c>
      <c r="BI206" s="26">
        <f t="shared" si="225"/>
        <v>0</v>
      </c>
    </row>
    <row r="207" spans="1:61" ht="12.75" hidden="1">
      <c r="A207" s="24" t="s">
        <v>181</v>
      </c>
      <c r="B207" s="25"/>
      <c r="C207" s="25" t="s">
        <v>430</v>
      </c>
      <c r="D207" s="25" t="s">
        <v>678</v>
      </c>
      <c r="E207" s="25" t="s">
        <v>750</v>
      </c>
      <c r="F207" s="47">
        <v>0</v>
      </c>
      <c r="G207" s="26">
        <f>'Smluvní ceník'!G207</f>
        <v>0</v>
      </c>
      <c r="H207" s="26">
        <f t="shared" si="202"/>
        <v>0</v>
      </c>
      <c r="I207" s="26">
        <f t="shared" si="203"/>
        <v>0</v>
      </c>
      <c r="J207" s="26">
        <f t="shared" si="204"/>
        <v>0</v>
      </c>
      <c r="K207" s="26">
        <v>0.00027</v>
      </c>
      <c r="L207" s="26">
        <f t="shared" si="205"/>
        <v>0</v>
      </c>
      <c r="Y207" s="27">
        <f t="shared" si="206"/>
        <v>0</v>
      </c>
      <c r="AA207" s="27">
        <f t="shared" si="207"/>
        <v>0</v>
      </c>
      <c r="AB207" s="27">
        <f t="shared" si="208"/>
        <v>0</v>
      </c>
      <c r="AC207" s="27">
        <f t="shared" si="209"/>
        <v>0</v>
      </c>
      <c r="AD207" s="27">
        <f t="shared" si="210"/>
        <v>0</v>
      </c>
      <c r="AE207" s="27">
        <f t="shared" si="211"/>
        <v>0</v>
      </c>
      <c r="AF207" s="27">
        <f t="shared" si="212"/>
        <v>0</v>
      </c>
      <c r="AG207" s="27">
        <f t="shared" si="213"/>
        <v>0</v>
      </c>
      <c r="AH207" s="17"/>
      <c r="AI207" s="26">
        <f t="shared" si="214"/>
        <v>0</v>
      </c>
      <c r="AJ207" s="26">
        <f t="shared" si="215"/>
        <v>0</v>
      </c>
      <c r="AK207" s="26">
        <f t="shared" si="216"/>
        <v>0</v>
      </c>
      <c r="AM207" s="27">
        <v>21</v>
      </c>
      <c r="AN207" s="27">
        <f>G207*0.160203562340967</f>
        <v>0</v>
      </c>
      <c r="AO207" s="27">
        <f>G207*(1-0.160203562340967)</f>
        <v>0</v>
      </c>
      <c r="AP207" s="28" t="s">
        <v>13</v>
      </c>
      <c r="AU207" s="27">
        <f t="shared" si="217"/>
        <v>0</v>
      </c>
      <c r="AV207" s="27">
        <f t="shared" si="218"/>
        <v>0</v>
      </c>
      <c r="AW207" s="27">
        <f t="shared" si="219"/>
        <v>0</v>
      </c>
      <c r="AX207" s="29" t="s">
        <v>787</v>
      </c>
      <c r="AY207" s="29" t="s">
        <v>794</v>
      </c>
      <c r="AZ207" s="17" t="s">
        <v>796</v>
      </c>
      <c r="BB207" s="27">
        <f t="shared" si="220"/>
        <v>0</v>
      </c>
      <c r="BC207" s="27">
        <f t="shared" si="221"/>
        <v>0</v>
      </c>
      <c r="BD207" s="27">
        <v>0</v>
      </c>
      <c r="BE207" s="27">
        <f t="shared" si="222"/>
        <v>0</v>
      </c>
      <c r="BG207" s="26">
        <f t="shared" si="223"/>
        <v>0</v>
      </c>
      <c r="BH207" s="26">
        <f t="shared" si="224"/>
        <v>0</v>
      </c>
      <c r="BI207" s="26">
        <f t="shared" si="225"/>
        <v>0</v>
      </c>
    </row>
    <row r="208" spans="1:61" ht="12.75" hidden="1">
      <c r="A208" s="24" t="s">
        <v>182</v>
      </c>
      <c r="B208" s="25"/>
      <c r="C208" s="25" t="s">
        <v>431</v>
      </c>
      <c r="D208" s="25" t="s">
        <v>679</v>
      </c>
      <c r="E208" s="25" t="s">
        <v>750</v>
      </c>
      <c r="F208" s="47">
        <v>0</v>
      </c>
      <c r="G208" s="26">
        <f>'Smluvní ceník'!G208</f>
        <v>0</v>
      </c>
      <c r="H208" s="26">
        <f t="shared" si="202"/>
        <v>0</v>
      </c>
      <c r="I208" s="26">
        <f t="shared" si="203"/>
        <v>0</v>
      </c>
      <c r="J208" s="26">
        <f t="shared" si="204"/>
        <v>0</v>
      </c>
      <c r="K208" s="26">
        <v>0.00054</v>
      </c>
      <c r="L208" s="26">
        <f t="shared" si="205"/>
        <v>0</v>
      </c>
      <c r="Y208" s="27">
        <f t="shared" si="206"/>
        <v>0</v>
      </c>
      <c r="AA208" s="27">
        <f t="shared" si="207"/>
        <v>0</v>
      </c>
      <c r="AB208" s="27">
        <f t="shared" si="208"/>
        <v>0</v>
      </c>
      <c r="AC208" s="27">
        <f t="shared" si="209"/>
        <v>0</v>
      </c>
      <c r="AD208" s="27">
        <f t="shared" si="210"/>
        <v>0</v>
      </c>
      <c r="AE208" s="27">
        <f t="shared" si="211"/>
        <v>0</v>
      </c>
      <c r="AF208" s="27">
        <f t="shared" si="212"/>
        <v>0</v>
      </c>
      <c r="AG208" s="27">
        <f t="shared" si="213"/>
        <v>0</v>
      </c>
      <c r="AH208" s="17"/>
      <c r="AI208" s="26">
        <f t="shared" si="214"/>
        <v>0</v>
      </c>
      <c r="AJ208" s="26">
        <f t="shared" si="215"/>
        <v>0</v>
      </c>
      <c r="AK208" s="26">
        <f t="shared" si="216"/>
        <v>0</v>
      </c>
      <c r="AM208" s="27">
        <v>21</v>
      </c>
      <c r="AN208" s="27">
        <f>G208*0.161490280777538</f>
        <v>0</v>
      </c>
      <c r="AO208" s="27">
        <f>G208*(1-0.161490280777538)</f>
        <v>0</v>
      </c>
      <c r="AP208" s="28" t="s">
        <v>13</v>
      </c>
      <c r="AU208" s="27">
        <f t="shared" si="217"/>
        <v>0</v>
      </c>
      <c r="AV208" s="27">
        <f t="shared" si="218"/>
        <v>0</v>
      </c>
      <c r="AW208" s="27">
        <f t="shared" si="219"/>
        <v>0</v>
      </c>
      <c r="AX208" s="29" t="s">
        <v>787</v>
      </c>
      <c r="AY208" s="29" t="s">
        <v>794</v>
      </c>
      <c r="AZ208" s="17" t="s">
        <v>796</v>
      </c>
      <c r="BB208" s="27">
        <f t="shared" si="220"/>
        <v>0</v>
      </c>
      <c r="BC208" s="27">
        <f t="shared" si="221"/>
        <v>0</v>
      </c>
      <c r="BD208" s="27">
        <v>0</v>
      </c>
      <c r="BE208" s="27">
        <f t="shared" si="222"/>
        <v>0</v>
      </c>
      <c r="BG208" s="26">
        <f t="shared" si="223"/>
        <v>0</v>
      </c>
      <c r="BH208" s="26">
        <f t="shared" si="224"/>
        <v>0</v>
      </c>
      <c r="BI208" s="26">
        <f t="shared" si="225"/>
        <v>0</v>
      </c>
    </row>
    <row r="209" spans="1:61" ht="12.75" hidden="1">
      <c r="A209" s="24" t="s">
        <v>183</v>
      </c>
      <c r="B209" s="25"/>
      <c r="C209" s="25" t="s">
        <v>432</v>
      </c>
      <c r="D209" s="25" t="s">
        <v>680</v>
      </c>
      <c r="E209" s="25" t="s">
        <v>750</v>
      </c>
      <c r="F209" s="47">
        <v>0</v>
      </c>
      <c r="G209" s="26">
        <f>'Smluvní ceník'!G209</f>
        <v>0</v>
      </c>
      <c r="H209" s="26">
        <f t="shared" si="202"/>
        <v>0</v>
      </c>
      <c r="I209" s="26">
        <f t="shared" si="203"/>
        <v>0</v>
      </c>
      <c r="J209" s="26">
        <f t="shared" si="204"/>
        <v>0</v>
      </c>
      <c r="K209" s="26">
        <v>0.00047</v>
      </c>
      <c r="L209" s="26">
        <f t="shared" si="205"/>
        <v>0</v>
      </c>
      <c r="Y209" s="27">
        <f t="shared" si="206"/>
        <v>0</v>
      </c>
      <c r="AA209" s="27">
        <f t="shared" si="207"/>
        <v>0</v>
      </c>
      <c r="AB209" s="27">
        <f t="shared" si="208"/>
        <v>0</v>
      </c>
      <c r="AC209" s="27">
        <f t="shared" si="209"/>
        <v>0</v>
      </c>
      <c r="AD209" s="27">
        <f t="shared" si="210"/>
        <v>0</v>
      </c>
      <c r="AE209" s="27">
        <f t="shared" si="211"/>
        <v>0</v>
      </c>
      <c r="AF209" s="27">
        <f t="shared" si="212"/>
        <v>0</v>
      </c>
      <c r="AG209" s="27">
        <f t="shared" si="213"/>
        <v>0</v>
      </c>
      <c r="AH209" s="17"/>
      <c r="AI209" s="26">
        <f t="shared" si="214"/>
        <v>0</v>
      </c>
      <c r="AJ209" s="26">
        <f t="shared" si="215"/>
        <v>0</v>
      </c>
      <c r="AK209" s="26">
        <f t="shared" si="216"/>
        <v>0</v>
      </c>
      <c r="AM209" s="27">
        <v>21</v>
      </c>
      <c r="AN209" s="27">
        <f>G209*0.168649556898561</f>
        <v>0</v>
      </c>
      <c r="AO209" s="27">
        <f>G209*(1-0.168649556898561)</f>
        <v>0</v>
      </c>
      <c r="AP209" s="28" t="s">
        <v>13</v>
      </c>
      <c r="AU209" s="27">
        <f t="shared" si="217"/>
        <v>0</v>
      </c>
      <c r="AV209" s="27">
        <f t="shared" si="218"/>
        <v>0</v>
      </c>
      <c r="AW209" s="27">
        <f t="shared" si="219"/>
        <v>0</v>
      </c>
      <c r="AX209" s="29" t="s">
        <v>787</v>
      </c>
      <c r="AY209" s="29" t="s">
        <v>794</v>
      </c>
      <c r="AZ209" s="17" t="s">
        <v>796</v>
      </c>
      <c r="BB209" s="27">
        <f t="shared" si="220"/>
        <v>0</v>
      </c>
      <c r="BC209" s="27">
        <f t="shared" si="221"/>
        <v>0</v>
      </c>
      <c r="BD209" s="27">
        <v>0</v>
      </c>
      <c r="BE209" s="27">
        <f t="shared" si="222"/>
        <v>0</v>
      </c>
      <c r="BG209" s="26">
        <f t="shared" si="223"/>
        <v>0</v>
      </c>
      <c r="BH209" s="26">
        <f t="shared" si="224"/>
        <v>0</v>
      </c>
      <c r="BI209" s="26">
        <f t="shared" si="225"/>
        <v>0</v>
      </c>
    </row>
    <row r="210" spans="1:61" ht="12.75" hidden="1">
      <c r="A210" s="24" t="s">
        <v>184</v>
      </c>
      <c r="B210" s="25"/>
      <c r="C210" s="25" t="s">
        <v>433</v>
      </c>
      <c r="D210" s="25" t="s">
        <v>681</v>
      </c>
      <c r="E210" s="25" t="s">
        <v>750</v>
      </c>
      <c r="F210" s="47">
        <v>0</v>
      </c>
      <c r="G210" s="26">
        <f>'Smluvní ceník'!G210</f>
        <v>0</v>
      </c>
      <c r="H210" s="26">
        <f t="shared" si="202"/>
        <v>0</v>
      </c>
      <c r="I210" s="26">
        <f t="shared" si="203"/>
        <v>0</v>
      </c>
      <c r="J210" s="26">
        <f t="shared" si="204"/>
        <v>0</v>
      </c>
      <c r="K210" s="26">
        <v>0.00037</v>
      </c>
      <c r="L210" s="26">
        <f t="shared" si="205"/>
        <v>0</v>
      </c>
      <c r="Y210" s="27">
        <f t="shared" si="206"/>
        <v>0</v>
      </c>
      <c r="AA210" s="27">
        <f t="shared" si="207"/>
        <v>0</v>
      </c>
      <c r="AB210" s="27">
        <f t="shared" si="208"/>
        <v>0</v>
      </c>
      <c r="AC210" s="27">
        <f t="shared" si="209"/>
        <v>0</v>
      </c>
      <c r="AD210" s="27">
        <f t="shared" si="210"/>
        <v>0</v>
      </c>
      <c r="AE210" s="27">
        <f t="shared" si="211"/>
        <v>0</v>
      </c>
      <c r="AF210" s="27">
        <f t="shared" si="212"/>
        <v>0</v>
      </c>
      <c r="AG210" s="27">
        <f t="shared" si="213"/>
        <v>0</v>
      </c>
      <c r="AH210" s="17"/>
      <c r="AI210" s="26">
        <f t="shared" si="214"/>
        <v>0</v>
      </c>
      <c r="AJ210" s="26">
        <f t="shared" si="215"/>
        <v>0</v>
      </c>
      <c r="AK210" s="26">
        <f t="shared" si="216"/>
        <v>0</v>
      </c>
      <c r="AM210" s="27">
        <v>21</v>
      </c>
      <c r="AN210" s="27">
        <f>G210*0.151242711488974</f>
        <v>0</v>
      </c>
      <c r="AO210" s="27">
        <f>G210*(1-0.151242711488974)</f>
        <v>0</v>
      </c>
      <c r="AP210" s="28" t="s">
        <v>13</v>
      </c>
      <c r="AU210" s="27">
        <f t="shared" si="217"/>
        <v>0</v>
      </c>
      <c r="AV210" s="27">
        <f t="shared" si="218"/>
        <v>0</v>
      </c>
      <c r="AW210" s="27">
        <f t="shared" si="219"/>
        <v>0</v>
      </c>
      <c r="AX210" s="29" t="s">
        <v>787</v>
      </c>
      <c r="AY210" s="29" t="s">
        <v>794</v>
      </c>
      <c r="AZ210" s="17" t="s">
        <v>796</v>
      </c>
      <c r="BB210" s="27">
        <f t="shared" si="220"/>
        <v>0</v>
      </c>
      <c r="BC210" s="27">
        <f t="shared" si="221"/>
        <v>0</v>
      </c>
      <c r="BD210" s="27">
        <v>0</v>
      </c>
      <c r="BE210" s="27">
        <f t="shared" si="222"/>
        <v>0</v>
      </c>
      <c r="BG210" s="26">
        <f t="shared" si="223"/>
        <v>0</v>
      </c>
      <c r="BH210" s="26">
        <f t="shared" si="224"/>
        <v>0</v>
      </c>
      <c r="BI210" s="26">
        <f t="shared" si="225"/>
        <v>0</v>
      </c>
    </row>
    <row r="211" spans="1:61" ht="12.75" hidden="1">
      <c r="A211" s="24" t="s">
        <v>185</v>
      </c>
      <c r="B211" s="25"/>
      <c r="C211" s="25" t="s">
        <v>434</v>
      </c>
      <c r="D211" s="25" t="s">
        <v>682</v>
      </c>
      <c r="E211" s="25" t="s">
        <v>750</v>
      </c>
      <c r="F211" s="47">
        <v>0</v>
      </c>
      <c r="G211" s="26">
        <f>'Smluvní ceník'!G211</f>
        <v>0</v>
      </c>
      <c r="H211" s="26">
        <f t="shared" si="202"/>
        <v>0</v>
      </c>
      <c r="I211" s="26">
        <f t="shared" si="203"/>
        <v>0</v>
      </c>
      <c r="J211" s="26">
        <f t="shared" si="204"/>
        <v>0</v>
      </c>
      <c r="K211" s="26">
        <v>0.0003</v>
      </c>
      <c r="L211" s="26">
        <f t="shared" si="205"/>
        <v>0</v>
      </c>
      <c r="Y211" s="27">
        <f t="shared" si="206"/>
        <v>0</v>
      </c>
      <c r="AA211" s="27">
        <f t="shared" si="207"/>
        <v>0</v>
      </c>
      <c r="AB211" s="27">
        <f t="shared" si="208"/>
        <v>0</v>
      </c>
      <c r="AC211" s="27">
        <f t="shared" si="209"/>
        <v>0</v>
      </c>
      <c r="AD211" s="27">
        <f t="shared" si="210"/>
        <v>0</v>
      </c>
      <c r="AE211" s="27">
        <f t="shared" si="211"/>
        <v>0</v>
      </c>
      <c r="AF211" s="27">
        <f t="shared" si="212"/>
        <v>0</v>
      </c>
      <c r="AG211" s="27">
        <f t="shared" si="213"/>
        <v>0</v>
      </c>
      <c r="AH211" s="17"/>
      <c r="AI211" s="26">
        <f t="shared" si="214"/>
        <v>0</v>
      </c>
      <c r="AJ211" s="26">
        <f t="shared" si="215"/>
        <v>0</v>
      </c>
      <c r="AK211" s="26">
        <f t="shared" si="216"/>
        <v>0</v>
      </c>
      <c r="AM211" s="27">
        <v>21</v>
      </c>
      <c r="AN211" s="27">
        <f>G211*0.148315098468271</f>
        <v>0</v>
      </c>
      <c r="AO211" s="27">
        <f>G211*(1-0.148315098468271)</f>
        <v>0</v>
      </c>
      <c r="AP211" s="28" t="s">
        <v>13</v>
      </c>
      <c r="AU211" s="27">
        <f t="shared" si="217"/>
        <v>0</v>
      </c>
      <c r="AV211" s="27">
        <f t="shared" si="218"/>
        <v>0</v>
      </c>
      <c r="AW211" s="27">
        <f t="shared" si="219"/>
        <v>0</v>
      </c>
      <c r="AX211" s="29" t="s">
        <v>787</v>
      </c>
      <c r="AY211" s="29" t="s">
        <v>794</v>
      </c>
      <c r="AZ211" s="17" t="s">
        <v>796</v>
      </c>
      <c r="BB211" s="27">
        <f t="shared" si="220"/>
        <v>0</v>
      </c>
      <c r="BC211" s="27">
        <f t="shared" si="221"/>
        <v>0</v>
      </c>
      <c r="BD211" s="27">
        <v>0</v>
      </c>
      <c r="BE211" s="27">
        <f t="shared" si="222"/>
        <v>0</v>
      </c>
      <c r="BG211" s="26">
        <f t="shared" si="223"/>
        <v>0</v>
      </c>
      <c r="BH211" s="26">
        <f t="shared" si="224"/>
        <v>0</v>
      </c>
      <c r="BI211" s="26">
        <f t="shared" si="225"/>
        <v>0</v>
      </c>
    </row>
    <row r="212" spans="1:61" ht="12.75" hidden="1">
      <c r="A212" s="24" t="s">
        <v>186</v>
      </c>
      <c r="B212" s="25"/>
      <c r="C212" s="25" t="s">
        <v>435</v>
      </c>
      <c r="D212" s="25" t="s">
        <v>683</v>
      </c>
      <c r="E212" s="25" t="s">
        <v>750</v>
      </c>
      <c r="F212" s="47">
        <v>0</v>
      </c>
      <c r="G212" s="26">
        <f>'Smluvní ceník'!G212</f>
        <v>0</v>
      </c>
      <c r="H212" s="26">
        <f t="shared" si="202"/>
        <v>0</v>
      </c>
      <c r="I212" s="26">
        <f t="shared" si="203"/>
        <v>0</v>
      </c>
      <c r="J212" s="26">
        <f t="shared" si="204"/>
        <v>0</v>
      </c>
      <c r="K212" s="26">
        <v>0.00033</v>
      </c>
      <c r="L212" s="26">
        <f t="shared" si="205"/>
        <v>0</v>
      </c>
      <c r="Y212" s="27">
        <f t="shared" si="206"/>
        <v>0</v>
      </c>
      <c r="AA212" s="27">
        <f t="shared" si="207"/>
        <v>0</v>
      </c>
      <c r="AB212" s="27">
        <f t="shared" si="208"/>
        <v>0</v>
      </c>
      <c r="AC212" s="27">
        <f t="shared" si="209"/>
        <v>0</v>
      </c>
      <c r="AD212" s="27">
        <f t="shared" si="210"/>
        <v>0</v>
      </c>
      <c r="AE212" s="27">
        <f t="shared" si="211"/>
        <v>0</v>
      </c>
      <c r="AF212" s="27">
        <f t="shared" si="212"/>
        <v>0</v>
      </c>
      <c r="AG212" s="27">
        <f t="shared" si="213"/>
        <v>0</v>
      </c>
      <c r="AH212" s="17"/>
      <c r="AI212" s="26">
        <f t="shared" si="214"/>
        <v>0</v>
      </c>
      <c r="AJ212" s="26">
        <f t="shared" si="215"/>
        <v>0</v>
      </c>
      <c r="AK212" s="26">
        <f t="shared" si="216"/>
        <v>0</v>
      </c>
      <c r="AM212" s="27">
        <v>21</v>
      </c>
      <c r="AN212" s="27">
        <f>G212*0.144197530864198</f>
        <v>0</v>
      </c>
      <c r="AO212" s="27">
        <f>G212*(1-0.144197530864198)</f>
        <v>0</v>
      </c>
      <c r="AP212" s="28" t="s">
        <v>13</v>
      </c>
      <c r="AU212" s="27">
        <f t="shared" si="217"/>
        <v>0</v>
      </c>
      <c r="AV212" s="27">
        <f t="shared" si="218"/>
        <v>0</v>
      </c>
      <c r="AW212" s="27">
        <f t="shared" si="219"/>
        <v>0</v>
      </c>
      <c r="AX212" s="29" t="s">
        <v>787</v>
      </c>
      <c r="AY212" s="29" t="s">
        <v>794</v>
      </c>
      <c r="AZ212" s="17" t="s">
        <v>796</v>
      </c>
      <c r="BB212" s="27">
        <f t="shared" si="220"/>
        <v>0</v>
      </c>
      <c r="BC212" s="27">
        <f t="shared" si="221"/>
        <v>0</v>
      </c>
      <c r="BD212" s="27">
        <v>0</v>
      </c>
      <c r="BE212" s="27">
        <f t="shared" si="222"/>
        <v>0</v>
      </c>
      <c r="BG212" s="26">
        <f t="shared" si="223"/>
        <v>0</v>
      </c>
      <c r="BH212" s="26">
        <f t="shared" si="224"/>
        <v>0</v>
      </c>
      <c r="BI212" s="26">
        <f t="shared" si="225"/>
        <v>0</v>
      </c>
    </row>
    <row r="213" spans="1:61" ht="12.75" hidden="1">
      <c r="A213" s="24" t="s">
        <v>187</v>
      </c>
      <c r="B213" s="25"/>
      <c r="C213" s="25" t="s">
        <v>436</v>
      </c>
      <c r="D213" s="25" t="s">
        <v>684</v>
      </c>
      <c r="E213" s="25" t="s">
        <v>750</v>
      </c>
      <c r="F213" s="47">
        <v>0</v>
      </c>
      <c r="G213" s="26">
        <f>'Smluvní ceník'!G213</f>
        <v>0</v>
      </c>
      <c r="H213" s="26">
        <f t="shared" si="202"/>
        <v>0</v>
      </c>
      <c r="I213" s="26">
        <f t="shared" si="203"/>
        <v>0</v>
      </c>
      <c r="J213" s="26">
        <f t="shared" si="204"/>
        <v>0</v>
      </c>
      <c r="K213" s="26">
        <v>0.00026</v>
      </c>
      <c r="L213" s="26">
        <f t="shared" si="205"/>
        <v>0</v>
      </c>
      <c r="Y213" s="27">
        <f t="shared" si="206"/>
        <v>0</v>
      </c>
      <c r="AA213" s="27">
        <f t="shared" si="207"/>
        <v>0</v>
      </c>
      <c r="AB213" s="27">
        <f t="shared" si="208"/>
        <v>0</v>
      </c>
      <c r="AC213" s="27">
        <f t="shared" si="209"/>
        <v>0</v>
      </c>
      <c r="AD213" s="27">
        <f t="shared" si="210"/>
        <v>0</v>
      </c>
      <c r="AE213" s="27">
        <f t="shared" si="211"/>
        <v>0</v>
      </c>
      <c r="AF213" s="27">
        <f t="shared" si="212"/>
        <v>0</v>
      </c>
      <c r="AG213" s="27">
        <f t="shared" si="213"/>
        <v>0</v>
      </c>
      <c r="AH213" s="17"/>
      <c r="AI213" s="26">
        <f t="shared" si="214"/>
        <v>0</v>
      </c>
      <c r="AJ213" s="26">
        <f t="shared" si="215"/>
        <v>0</v>
      </c>
      <c r="AK213" s="26">
        <f t="shared" si="216"/>
        <v>0</v>
      </c>
      <c r="AM213" s="27">
        <v>21</v>
      </c>
      <c r="AN213" s="27">
        <f>G213*0.146459948320413</f>
        <v>0</v>
      </c>
      <c r="AO213" s="27">
        <f>G213*(1-0.146459948320413)</f>
        <v>0</v>
      </c>
      <c r="AP213" s="28" t="s">
        <v>13</v>
      </c>
      <c r="AU213" s="27">
        <f t="shared" si="217"/>
        <v>0</v>
      </c>
      <c r="AV213" s="27">
        <f t="shared" si="218"/>
        <v>0</v>
      </c>
      <c r="AW213" s="27">
        <f t="shared" si="219"/>
        <v>0</v>
      </c>
      <c r="AX213" s="29" t="s">
        <v>787</v>
      </c>
      <c r="AY213" s="29" t="s">
        <v>794</v>
      </c>
      <c r="AZ213" s="17" t="s">
        <v>796</v>
      </c>
      <c r="BB213" s="27">
        <f t="shared" si="220"/>
        <v>0</v>
      </c>
      <c r="BC213" s="27">
        <f t="shared" si="221"/>
        <v>0</v>
      </c>
      <c r="BD213" s="27">
        <v>0</v>
      </c>
      <c r="BE213" s="27">
        <f t="shared" si="222"/>
        <v>0</v>
      </c>
      <c r="BG213" s="26">
        <f t="shared" si="223"/>
        <v>0</v>
      </c>
      <c r="BH213" s="26">
        <f t="shared" si="224"/>
        <v>0</v>
      </c>
      <c r="BI213" s="26">
        <f t="shared" si="225"/>
        <v>0</v>
      </c>
    </row>
    <row r="214" spans="1:61" ht="12.75">
      <c r="A214" s="24" t="s">
        <v>188</v>
      </c>
      <c r="B214" s="25"/>
      <c r="C214" s="25" t="s">
        <v>437</v>
      </c>
      <c r="D214" s="25" t="s">
        <v>685</v>
      </c>
      <c r="E214" s="25" t="s">
        <v>750</v>
      </c>
      <c r="F214" s="47">
        <v>10</v>
      </c>
      <c r="G214" s="26">
        <f>'Smluvní ceník'!G214</f>
        <v>0</v>
      </c>
      <c r="H214" s="26">
        <f t="shared" si="202"/>
        <v>0</v>
      </c>
      <c r="I214" s="26">
        <f t="shared" si="203"/>
        <v>0</v>
      </c>
      <c r="J214" s="26">
        <f t="shared" si="204"/>
        <v>0</v>
      </c>
      <c r="K214" s="26">
        <v>0.00062</v>
      </c>
      <c r="L214" s="26">
        <f t="shared" si="205"/>
        <v>0.0062</v>
      </c>
      <c r="Y214" s="27">
        <f t="shared" si="206"/>
        <v>0</v>
      </c>
      <c r="AA214" s="27">
        <f t="shared" si="207"/>
        <v>0</v>
      </c>
      <c r="AB214" s="27">
        <f t="shared" si="208"/>
        <v>0</v>
      </c>
      <c r="AC214" s="27">
        <f t="shared" si="209"/>
        <v>0</v>
      </c>
      <c r="AD214" s="27">
        <f t="shared" si="210"/>
        <v>0</v>
      </c>
      <c r="AE214" s="27">
        <f t="shared" si="211"/>
        <v>0</v>
      </c>
      <c r="AF214" s="27">
        <f t="shared" si="212"/>
        <v>0</v>
      </c>
      <c r="AG214" s="27">
        <f t="shared" si="213"/>
        <v>0</v>
      </c>
      <c r="AH214" s="17"/>
      <c r="AI214" s="26">
        <f t="shared" si="214"/>
        <v>0</v>
      </c>
      <c r="AJ214" s="26">
        <f t="shared" si="215"/>
        <v>0</v>
      </c>
      <c r="AK214" s="26">
        <f t="shared" si="216"/>
        <v>0</v>
      </c>
      <c r="AM214" s="27">
        <v>21</v>
      </c>
      <c r="AN214" s="27">
        <f>G214*0.157735049640042</f>
        <v>0</v>
      </c>
      <c r="AO214" s="27">
        <f>G214*(1-0.157735049640042)</f>
        <v>0</v>
      </c>
      <c r="AP214" s="28" t="s">
        <v>13</v>
      </c>
      <c r="AU214" s="27">
        <f t="shared" si="217"/>
        <v>0</v>
      </c>
      <c r="AV214" s="27">
        <f t="shared" si="218"/>
        <v>0</v>
      </c>
      <c r="AW214" s="27">
        <f t="shared" si="219"/>
        <v>0</v>
      </c>
      <c r="AX214" s="29" t="s">
        <v>787</v>
      </c>
      <c r="AY214" s="29" t="s">
        <v>794</v>
      </c>
      <c r="AZ214" s="17" t="s">
        <v>796</v>
      </c>
      <c r="BB214" s="27">
        <f t="shared" si="220"/>
        <v>0</v>
      </c>
      <c r="BC214" s="27">
        <f t="shared" si="221"/>
        <v>0</v>
      </c>
      <c r="BD214" s="27">
        <v>0</v>
      </c>
      <c r="BE214" s="27">
        <f t="shared" si="222"/>
        <v>0.0062</v>
      </c>
      <c r="BG214" s="26">
        <f t="shared" si="223"/>
        <v>0</v>
      </c>
      <c r="BH214" s="26">
        <f t="shared" si="224"/>
        <v>0</v>
      </c>
      <c r="BI214" s="26">
        <f t="shared" si="225"/>
        <v>0</v>
      </c>
    </row>
    <row r="215" spans="1:61" ht="12.75" hidden="1">
      <c r="A215" s="24" t="s">
        <v>189</v>
      </c>
      <c r="B215" s="25"/>
      <c r="C215" s="25" t="s">
        <v>438</v>
      </c>
      <c r="D215" s="25" t="s">
        <v>686</v>
      </c>
      <c r="E215" s="25" t="s">
        <v>750</v>
      </c>
      <c r="F215" s="47">
        <v>0</v>
      </c>
      <c r="G215" s="26">
        <f>'Smluvní ceník'!G215</f>
        <v>0</v>
      </c>
      <c r="H215" s="26">
        <f t="shared" si="202"/>
        <v>0</v>
      </c>
      <c r="I215" s="26">
        <f t="shared" si="203"/>
        <v>0</v>
      </c>
      <c r="J215" s="26">
        <f t="shared" si="204"/>
        <v>0</v>
      </c>
      <c r="K215" s="26">
        <v>0.0006</v>
      </c>
      <c r="L215" s="26">
        <f t="shared" si="205"/>
        <v>0</v>
      </c>
      <c r="Y215" s="27">
        <f t="shared" si="206"/>
        <v>0</v>
      </c>
      <c r="AA215" s="27">
        <f t="shared" si="207"/>
        <v>0</v>
      </c>
      <c r="AB215" s="27">
        <f t="shared" si="208"/>
        <v>0</v>
      </c>
      <c r="AC215" s="27">
        <f t="shared" si="209"/>
        <v>0</v>
      </c>
      <c r="AD215" s="27">
        <f t="shared" si="210"/>
        <v>0</v>
      </c>
      <c r="AE215" s="27">
        <f t="shared" si="211"/>
        <v>0</v>
      </c>
      <c r="AF215" s="27">
        <f t="shared" si="212"/>
        <v>0</v>
      </c>
      <c r="AG215" s="27">
        <f t="shared" si="213"/>
        <v>0</v>
      </c>
      <c r="AH215" s="17"/>
      <c r="AI215" s="26">
        <f t="shared" si="214"/>
        <v>0</v>
      </c>
      <c r="AJ215" s="26">
        <f t="shared" si="215"/>
        <v>0</v>
      </c>
      <c r="AK215" s="26">
        <f t="shared" si="216"/>
        <v>0</v>
      </c>
      <c r="AM215" s="27">
        <v>21</v>
      </c>
      <c r="AN215" s="27">
        <f>G215*0.123177570093458</f>
        <v>0</v>
      </c>
      <c r="AO215" s="27">
        <f>G215*(1-0.123177570093458)</f>
        <v>0</v>
      </c>
      <c r="AP215" s="28" t="s">
        <v>13</v>
      </c>
      <c r="AU215" s="27">
        <f t="shared" si="217"/>
        <v>0</v>
      </c>
      <c r="AV215" s="27">
        <f t="shared" si="218"/>
        <v>0</v>
      </c>
      <c r="AW215" s="27">
        <f t="shared" si="219"/>
        <v>0</v>
      </c>
      <c r="AX215" s="29" t="s">
        <v>787</v>
      </c>
      <c r="AY215" s="29" t="s">
        <v>794</v>
      </c>
      <c r="AZ215" s="17" t="s">
        <v>796</v>
      </c>
      <c r="BB215" s="27">
        <f t="shared" si="220"/>
        <v>0</v>
      </c>
      <c r="BC215" s="27">
        <f t="shared" si="221"/>
        <v>0</v>
      </c>
      <c r="BD215" s="27">
        <v>0</v>
      </c>
      <c r="BE215" s="27">
        <f t="shared" si="222"/>
        <v>0</v>
      </c>
      <c r="BG215" s="26">
        <f t="shared" si="223"/>
        <v>0</v>
      </c>
      <c r="BH215" s="26">
        <f t="shared" si="224"/>
        <v>0</v>
      </c>
      <c r="BI215" s="26">
        <f t="shared" si="225"/>
        <v>0</v>
      </c>
    </row>
    <row r="216" spans="1:61" ht="12.75">
      <c r="A216" s="24" t="s">
        <v>190</v>
      </c>
      <c r="B216" s="25"/>
      <c r="C216" s="25" t="s">
        <v>439</v>
      </c>
      <c r="D216" s="25" t="s">
        <v>687</v>
      </c>
      <c r="E216" s="25" t="s">
        <v>750</v>
      </c>
      <c r="F216" s="47">
        <v>30</v>
      </c>
      <c r="G216" s="26">
        <f>'Smluvní ceník'!G216</f>
        <v>0</v>
      </c>
      <c r="H216" s="26">
        <f t="shared" si="202"/>
        <v>0</v>
      </c>
      <c r="I216" s="26">
        <f t="shared" si="203"/>
        <v>0</v>
      </c>
      <c r="J216" s="26">
        <f t="shared" si="204"/>
        <v>0</v>
      </c>
      <c r="K216" s="26">
        <v>0.00071</v>
      </c>
      <c r="L216" s="26">
        <f t="shared" si="205"/>
        <v>0.0213</v>
      </c>
      <c r="Y216" s="27">
        <f t="shared" si="206"/>
        <v>0</v>
      </c>
      <c r="AA216" s="27">
        <f t="shared" si="207"/>
        <v>0</v>
      </c>
      <c r="AB216" s="27">
        <f t="shared" si="208"/>
        <v>0</v>
      </c>
      <c r="AC216" s="27">
        <f t="shared" si="209"/>
        <v>0</v>
      </c>
      <c r="AD216" s="27">
        <f t="shared" si="210"/>
        <v>0</v>
      </c>
      <c r="AE216" s="27">
        <f t="shared" si="211"/>
        <v>0</v>
      </c>
      <c r="AF216" s="27">
        <f t="shared" si="212"/>
        <v>0</v>
      </c>
      <c r="AG216" s="27">
        <f t="shared" si="213"/>
        <v>0</v>
      </c>
      <c r="AH216" s="17"/>
      <c r="AI216" s="26">
        <f t="shared" si="214"/>
        <v>0</v>
      </c>
      <c r="AJ216" s="26">
        <f t="shared" si="215"/>
        <v>0</v>
      </c>
      <c r="AK216" s="26">
        <f t="shared" si="216"/>
        <v>0</v>
      </c>
      <c r="AM216" s="27">
        <v>21</v>
      </c>
      <c r="AN216" s="27">
        <f>G216*0.129138888888889</f>
        <v>0</v>
      </c>
      <c r="AO216" s="27">
        <f>G216*(1-0.129138888888889)</f>
        <v>0</v>
      </c>
      <c r="AP216" s="28" t="s">
        <v>13</v>
      </c>
      <c r="AU216" s="27">
        <f t="shared" si="217"/>
        <v>0</v>
      </c>
      <c r="AV216" s="27">
        <f t="shared" si="218"/>
        <v>0</v>
      </c>
      <c r="AW216" s="27">
        <f t="shared" si="219"/>
        <v>0</v>
      </c>
      <c r="AX216" s="29" t="s">
        <v>787</v>
      </c>
      <c r="AY216" s="29" t="s">
        <v>794</v>
      </c>
      <c r="AZ216" s="17" t="s">
        <v>796</v>
      </c>
      <c r="BB216" s="27">
        <f t="shared" si="220"/>
        <v>0</v>
      </c>
      <c r="BC216" s="27">
        <f t="shared" si="221"/>
        <v>0</v>
      </c>
      <c r="BD216" s="27">
        <v>0</v>
      </c>
      <c r="BE216" s="27">
        <f t="shared" si="222"/>
        <v>0.0213</v>
      </c>
      <c r="BG216" s="26">
        <f t="shared" si="223"/>
        <v>0</v>
      </c>
      <c r="BH216" s="26">
        <f t="shared" si="224"/>
        <v>0</v>
      </c>
      <c r="BI216" s="26">
        <f t="shared" si="225"/>
        <v>0</v>
      </c>
    </row>
    <row r="217" spans="1:61" ht="12.75" hidden="1">
      <c r="A217" s="24" t="s">
        <v>191</v>
      </c>
      <c r="B217" s="25"/>
      <c r="C217" s="25" t="s">
        <v>440</v>
      </c>
      <c r="D217" s="25" t="s">
        <v>688</v>
      </c>
      <c r="E217" s="25" t="s">
        <v>753</v>
      </c>
      <c r="F217" s="47">
        <v>0</v>
      </c>
      <c r="G217" s="26">
        <f>'Smluvní ceník'!G217</f>
        <v>0</v>
      </c>
      <c r="H217" s="26">
        <f t="shared" si="202"/>
        <v>0</v>
      </c>
      <c r="I217" s="26">
        <f t="shared" si="203"/>
        <v>0</v>
      </c>
      <c r="J217" s="26">
        <f t="shared" si="204"/>
        <v>0</v>
      </c>
      <c r="K217" s="26">
        <v>0</v>
      </c>
      <c r="L217" s="26">
        <f t="shared" si="205"/>
        <v>0</v>
      </c>
      <c r="Y217" s="27">
        <f t="shared" si="206"/>
        <v>0</v>
      </c>
      <c r="AA217" s="27">
        <f t="shared" si="207"/>
        <v>0</v>
      </c>
      <c r="AB217" s="27">
        <f t="shared" si="208"/>
        <v>0</v>
      </c>
      <c r="AC217" s="27">
        <f t="shared" si="209"/>
        <v>0</v>
      </c>
      <c r="AD217" s="27">
        <f t="shared" si="210"/>
        <v>0</v>
      </c>
      <c r="AE217" s="27">
        <f t="shared" si="211"/>
        <v>0</v>
      </c>
      <c r="AF217" s="27">
        <f t="shared" si="212"/>
        <v>0</v>
      </c>
      <c r="AG217" s="27">
        <f t="shared" si="213"/>
        <v>0</v>
      </c>
      <c r="AH217" s="17"/>
      <c r="AI217" s="26">
        <f t="shared" si="214"/>
        <v>0</v>
      </c>
      <c r="AJ217" s="26">
        <f t="shared" si="215"/>
        <v>0</v>
      </c>
      <c r="AK217" s="26">
        <f t="shared" si="216"/>
        <v>0</v>
      </c>
      <c r="AM217" s="27">
        <v>21</v>
      </c>
      <c r="AN217" s="27">
        <f aca="true" t="shared" si="226" ref="AN217:AN222">G217*0</f>
        <v>0</v>
      </c>
      <c r="AO217" s="27">
        <f aca="true" t="shared" si="227" ref="AO217:AO222">G217*(1-0)</f>
        <v>0</v>
      </c>
      <c r="AP217" s="28" t="s">
        <v>13</v>
      </c>
      <c r="AU217" s="27">
        <f t="shared" si="217"/>
        <v>0</v>
      </c>
      <c r="AV217" s="27">
        <f t="shared" si="218"/>
        <v>0</v>
      </c>
      <c r="AW217" s="27">
        <f t="shared" si="219"/>
        <v>0</v>
      </c>
      <c r="AX217" s="29" t="s">
        <v>787</v>
      </c>
      <c r="AY217" s="29" t="s">
        <v>794</v>
      </c>
      <c r="AZ217" s="17" t="s">
        <v>796</v>
      </c>
      <c r="BB217" s="27">
        <f t="shared" si="220"/>
        <v>0</v>
      </c>
      <c r="BC217" s="27">
        <f t="shared" si="221"/>
        <v>0</v>
      </c>
      <c r="BD217" s="27">
        <v>0</v>
      </c>
      <c r="BE217" s="27">
        <f t="shared" si="222"/>
        <v>0</v>
      </c>
      <c r="BG217" s="26">
        <f t="shared" si="223"/>
        <v>0</v>
      </c>
      <c r="BH217" s="26">
        <f t="shared" si="224"/>
        <v>0</v>
      </c>
      <c r="BI217" s="26">
        <f t="shared" si="225"/>
        <v>0</v>
      </c>
    </row>
    <row r="218" spans="1:61" ht="12.75" hidden="1">
      <c r="A218" s="24" t="s">
        <v>192</v>
      </c>
      <c r="B218" s="25"/>
      <c r="C218" s="25" t="s">
        <v>441</v>
      </c>
      <c r="D218" s="25" t="s">
        <v>689</v>
      </c>
      <c r="E218" s="25" t="s">
        <v>753</v>
      </c>
      <c r="F218" s="47">
        <v>0</v>
      </c>
      <c r="G218" s="26">
        <f>'Smluvní ceník'!G218</f>
        <v>0</v>
      </c>
      <c r="H218" s="26">
        <f t="shared" si="202"/>
        <v>0</v>
      </c>
      <c r="I218" s="26">
        <f t="shared" si="203"/>
        <v>0</v>
      </c>
      <c r="J218" s="26">
        <f t="shared" si="204"/>
        <v>0</v>
      </c>
      <c r="K218" s="26">
        <v>0</v>
      </c>
      <c r="L218" s="26">
        <f t="shared" si="205"/>
        <v>0</v>
      </c>
      <c r="Y218" s="27">
        <f t="shared" si="206"/>
        <v>0</v>
      </c>
      <c r="AA218" s="27">
        <f t="shared" si="207"/>
        <v>0</v>
      </c>
      <c r="AB218" s="27">
        <f t="shared" si="208"/>
        <v>0</v>
      </c>
      <c r="AC218" s="27">
        <f t="shared" si="209"/>
        <v>0</v>
      </c>
      <c r="AD218" s="27">
        <f t="shared" si="210"/>
        <v>0</v>
      </c>
      <c r="AE218" s="27">
        <f t="shared" si="211"/>
        <v>0</v>
      </c>
      <c r="AF218" s="27">
        <f t="shared" si="212"/>
        <v>0</v>
      </c>
      <c r="AG218" s="27">
        <f t="shared" si="213"/>
        <v>0</v>
      </c>
      <c r="AH218" s="17"/>
      <c r="AI218" s="26">
        <f t="shared" si="214"/>
        <v>0</v>
      </c>
      <c r="AJ218" s="26">
        <f t="shared" si="215"/>
        <v>0</v>
      </c>
      <c r="AK218" s="26">
        <f t="shared" si="216"/>
        <v>0</v>
      </c>
      <c r="AM218" s="27">
        <v>21</v>
      </c>
      <c r="AN218" s="27">
        <f t="shared" si="226"/>
        <v>0</v>
      </c>
      <c r="AO218" s="27">
        <f t="shared" si="227"/>
        <v>0</v>
      </c>
      <c r="AP218" s="28" t="s">
        <v>13</v>
      </c>
      <c r="AU218" s="27">
        <f t="shared" si="217"/>
        <v>0</v>
      </c>
      <c r="AV218" s="27">
        <f t="shared" si="218"/>
        <v>0</v>
      </c>
      <c r="AW218" s="27">
        <f t="shared" si="219"/>
        <v>0</v>
      </c>
      <c r="AX218" s="29" t="s">
        <v>787</v>
      </c>
      <c r="AY218" s="29" t="s">
        <v>794</v>
      </c>
      <c r="AZ218" s="17" t="s">
        <v>796</v>
      </c>
      <c r="BB218" s="27">
        <f t="shared" si="220"/>
        <v>0</v>
      </c>
      <c r="BC218" s="27">
        <f t="shared" si="221"/>
        <v>0</v>
      </c>
      <c r="BD218" s="27">
        <v>0</v>
      </c>
      <c r="BE218" s="27">
        <f t="shared" si="222"/>
        <v>0</v>
      </c>
      <c r="BG218" s="26">
        <f t="shared" si="223"/>
        <v>0</v>
      </c>
      <c r="BH218" s="26">
        <f t="shared" si="224"/>
        <v>0</v>
      </c>
      <c r="BI218" s="26">
        <f t="shared" si="225"/>
        <v>0</v>
      </c>
    </row>
    <row r="219" spans="1:61" ht="12.75">
      <c r="A219" s="24" t="s">
        <v>193</v>
      </c>
      <c r="B219" s="25"/>
      <c r="C219" s="25" t="s">
        <v>442</v>
      </c>
      <c r="D219" s="25" t="s">
        <v>690</v>
      </c>
      <c r="E219" s="25" t="s">
        <v>753</v>
      </c>
      <c r="F219" s="47">
        <v>20</v>
      </c>
      <c r="G219" s="26">
        <f>'Smluvní ceník'!G219</f>
        <v>0</v>
      </c>
      <c r="H219" s="26">
        <f t="shared" si="202"/>
        <v>0</v>
      </c>
      <c r="I219" s="26">
        <f t="shared" si="203"/>
        <v>0</v>
      </c>
      <c r="J219" s="26">
        <f t="shared" si="204"/>
        <v>0</v>
      </c>
      <c r="K219" s="26">
        <v>0</v>
      </c>
      <c r="L219" s="26">
        <f t="shared" si="205"/>
        <v>0</v>
      </c>
      <c r="Y219" s="27">
        <f t="shared" si="206"/>
        <v>0</v>
      </c>
      <c r="AA219" s="27">
        <f t="shared" si="207"/>
        <v>0</v>
      </c>
      <c r="AB219" s="27">
        <f t="shared" si="208"/>
        <v>0</v>
      </c>
      <c r="AC219" s="27">
        <f t="shared" si="209"/>
        <v>0</v>
      </c>
      <c r="AD219" s="27">
        <f t="shared" si="210"/>
        <v>0</v>
      </c>
      <c r="AE219" s="27">
        <f t="shared" si="211"/>
        <v>0</v>
      </c>
      <c r="AF219" s="27">
        <f t="shared" si="212"/>
        <v>0</v>
      </c>
      <c r="AG219" s="27">
        <f t="shared" si="213"/>
        <v>0</v>
      </c>
      <c r="AH219" s="17"/>
      <c r="AI219" s="26">
        <f t="shared" si="214"/>
        <v>0</v>
      </c>
      <c r="AJ219" s="26">
        <f t="shared" si="215"/>
        <v>0</v>
      </c>
      <c r="AK219" s="26">
        <f t="shared" si="216"/>
        <v>0</v>
      </c>
      <c r="AM219" s="27">
        <v>21</v>
      </c>
      <c r="AN219" s="27">
        <f t="shared" si="226"/>
        <v>0</v>
      </c>
      <c r="AO219" s="27">
        <f t="shared" si="227"/>
        <v>0</v>
      </c>
      <c r="AP219" s="28" t="s">
        <v>13</v>
      </c>
      <c r="AU219" s="27">
        <f t="shared" si="217"/>
        <v>0</v>
      </c>
      <c r="AV219" s="27">
        <f t="shared" si="218"/>
        <v>0</v>
      </c>
      <c r="AW219" s="27">
        <f t="shared" si="219"/>
        <v>0</v>
      </c>
      <c r="AX219" s="29" t="s">
        <v>787</v>
      </c>
      <c r="AY219" s="29" t="s">
        <v>794</v>
      </c>
      <c r="AZ219" s="17" t="s">
        <v>796</v>
      </c>
      <c r="BB219" s="27">
        <f t="shared" si="220"/>
        <v>0</v>
      </c>
      <c r="BC219" s="27">
        <f t="shared" si="221"/>
        <v>0</v>
      </c>
      <c r="BD219" s="27">
        <v>0</v>
      </c>
      <c r="BE219" s="27">
        <f t="shared" si="222"/>
        <v>0</v>
      </c>
      <c r="BG219" s="26">
        <f t="shared" si="223"/>
        <v>0</v>
      </c>
      <c r="BH219" s="26">
        <f t="shared" si="224"/>
        <v>0</v>
      </c>
      <c r="BI219" s="26">
        <f t="shared" si="225"/>
        <v>0</v>
      </c>
    </row>
    <row r="220" spans="1:61" ht="12.75" hidden="1">
      <c r="A220" s="24" t="s">
        <v>194</v>
      </c>
      <c r="B220" s="25"/>
      <c r="C220" s="25" t="s">
        <v>443</v>
      </c>
      <c r="D220" s="25" t="s">
        <v>691</v>
      </c>
      <c r="E220" s="25" t="s">
        <v>750</v>
      </c>
      <c r="F220" s="47">
        <v>0</v>
      </c>
      <c r="G220" s="26">
        <f>'Smluvní ceník'!G220</f>
        <v>0</v>
      </c>
      <c r="H220" s="26">
        <f t="shared" si="202"/>
        <v>0</v>
      </c>
      <c r="I220" s="26">
        <f t="shared" si="203"/>
        <v>0</v>
      </c>
      <c r="J220" s="26">
        <f t="shared" si="204"/>
        <v>0</v>
      </c>
      <c r="K220" s="26">
        <v>0</v>
      </c>
      <c r="L220" s="26">
        <f t="shared" si="205"/>
        <v>0</v>
      </c>
      <c r="Y220" s="27">
        <f t="shared" si="206"/>
        <v>0</v>
      </c>
      <c r="AA220" s="27">
        <f t="shared" si="207"/>
        <v>0</v>
      </c>
      <c r="AB220" s="27">
        <f t="shared" si="208"/>
        <v>0</v>
      </c>
      <c r="AC220" s="27">
        <f t="shared" si="209"/>
        <v>0</v>
      </c>
      <c r="AD220" s="27">
        <f t="shared" si="210"/>
        <v>0</v>
      </c>
      <c r="AE220" s="27">
        <f t="shared" si="211"/>
        <v>0</v>
      </c>
      <c r="AF220" s="27">
        <f t="shared" si="212"/>
        <v>0</v>
      </c>
      <c r="AG220" s="27">
        <f t="shared" si="213"/>
        <v>0</v>
      </c>
      <c r="AH220" s="17"/>
      <c r="AI220" s="26">
        <f t="shared" si="214"/>
        <v>0</v>
      </c>
      <c r="AJ220" s="26">
        <f t="shared" si="215"/>
        <v>0</v>
      </c>
      <c r="AK220" s="26">
        <f t="shared" si="216"/>
        <v>0</v>
      </c>
      <c r="AM220" s="27">
        <v>21</v>
      </c>
      <c r="AN220" s="27">
        <f t="shared" si="226"/>
        <v>0</v>
      </c>
      <c r="AO220" s="27">
        <f t="shared" si="227"/>
        <v>0</v>
      </c>
      <c r="AP220" s="28" t="s">
        <v>13</v>
      </c>
      <c r="AU220" s="27">
        <f t="shared" si="217"/>
        <v>0</v>
      </c>
      <c r="AV220" s="27">
        <f t="shared" si="218"/>
        <v>0</v>
      </c>
      <c r="AW220" s="27">
        <f t="shared" si="219"/>
        <v>0</v>
      </c>
      <c r="AX220" s="29" t="s">
        <v>787</v>
      </c>
      <c r="AY220" s="29" t="s">
        <v>794</v>
      </c>
      <c r="AZ220" s="17" t="s">
        <v>796</v>
      </c>
      <c r="BB220" s="27">
        <f t="shared" si="220"/>
        <v>0</v>
      </c>
      <c r="BC220" s="27">
        <f t="shared" si="221"/>
        <v>0</v>
      </c>
      <c r="BD220" s="27">
        <v>0</v>
      </c>
      <c r="BE220" s="27">
        <f t="shared" si="222"/>
        <v>0</v>
      </c>
      <c r="BG220" s="26">
        <f t="shared" si="223"/>
        <v>0</v>
      </c>
      <c r="BH220" s="26">
        <f t="shared" si="224"/>
        <v>0</v>
      </c>
      <c r="BI220" s="26">
        <f t="shared" si="225"/>
        <v>0</v>
      </c>
    </row>
    <row r="221" spans="1:61" ht="12.75">
      <c r="A221" s="24" t="s">
        <v>195</v>
      </c>
      <c r="B221" s="25"/>
      <c r="C221" s="25" t="s">
        <v>444</v>
      </c>
      <c r="D221" s="25" t="s">
        <v>692</v>
      </c>
      <c r="E221" s="25" t="s">
        <v>750</v>
      </c>
      <c r="F221" s="47">
        <v>30</v>
      </c>
      <c r="G221" s="26">
        <f>'Smluvní ceník'!G221</f>
        <v>0</v>
      </c>
      <c r="H221" s="26">
        <f t="shared" si="202"/>
        <v>0</v>
      </c>
      <c r="I221" s="26">
        <f t="shared" si="203"/>
        <v>0</v>
      </c>
      <c r="J221" s="26">
        <f t="shared" si="204"/>
        <v>0</v>
      </c>
      <c r="K221" s="26">
        <v>0</v>
      </c>
      <c r="L221" s="26">
        <f t="shared" si="205"/>
        <v>0</v>
      </c>
      <c r="Y221" s="27">
        <f t="shared" si="206"/>
        <v>0</v>
      </c>
      <c r="AA221" s="27">
        <f t="shared" si="207"/>
        <v>0</v>
      </c>
      <c r="AB221" s="27">
        <f t="shared" si="208"/>
        <v>0</v>
      </c>
      <c r="AC221" s="27">
        <f t="shared" si="209"/>
        <v>0</v>
      </c>
      <c r="AD221" s="27">
        <f t="shared" si="210"/>
        <v>0</v>
      </c>
      <c r="AE221" s="27">
        <f t="shared" si="211"/>
        <v>0</v>
      </c>
      <c r="AF221" s="27">
        <f t="shared" si="212"/>
        <v>0</v>
      </c>
      <c r="AG221" s="27">
        <f t="shared" si="213"/>
        <v>0</v>
      </c>
      <c r="AH221" s="17"/>
      <c r="AI221" s="26">
        <f t="shared" si="214"/>
        <v>0</v>
      </c>
      <c r="AJ221" s="26">
        <f t="shared" si="215"/>
        <v>0</v>
      </c>
      <c r="AK221" s="26">
        <f t="shared" si="216"/>
        <v>0</v>
      </c>
      <c r="AM221" s="27">
        <v>21</v>
      </c>
      <c r="AN221" s="27">
        <f t="shared" si="226"/>
        <v>0</v>
      </c>
      <c r="AO221" s="27">
        <f t="shared" si="227"/>
        <v>0</v>
      </c>
      <c r="AP221" s="28" t="s">
        <v>13</v>
      </c>
      <c r="AU221" s="27">
        <f t="shared" si="217"/>
        <v>0</v>
      </c>
      <c r="AV221" s="27">
        <f t="shared" si="218"/>
        <v>0</v>
      </c>
      <c r="AW221" s="27">
        <f t="shared" si="219"/>
        <v>0</v>
      </c>
      <c r="AX221" s="29" t="s">
        <v>787</v>
      </c>
      <c r="AY221" s="29" t="s">
        <v>794</v>
      </c>
      <c r="AZ221" s="17" t="s">
        <v>796</v>
      </c>
      <c r="BB221" s="27">
        <f t="shared" si="220"/>
        <v>0</v>
      </c>
      <c r="BC221" s="27">
        <f t="shared" si="221"/>
        <v>0</v>
      </c>
      <c r="BD221" s="27">
        <v>0</v>
      </c>
      <c r="BE221" s="27">
        <f t="shared" si="222"/>
        <v>0</v>
      </c>
      <c r="BG221" s="26">
        <f t="shared" si="223"/>
        <v>0</v>
      </c>
      <c r="BH221" s="26">
        <f t="shared" si="224"/>
        <v>0</v>
      </c>
      <c r="BI221" s="26">
        <f t="shared" si="225"/>
        <v>0</v>
      </c>
    </row>
    <row r="222" spans="1:61" ht="12.75" hidden="1">
      <c r="A222" s="24" t="s">
        <v>196</v>
      </c>
      <c r="B222" s="25"/>
      <c r="C222" s="25" t="s">
        <v>445</v>
      </c>
      <c r="D222" s="25" t="s">
        <v>693</v>
      </c>
      <c r="E222" s="25" t="s">
        <v>750</v>
      </c>
      <c r="F222" s="47">
        <v>0</v>
      </c>
      <c r="G222" s="26">
        <f>'Smluvní ceník'!G222</f>
        <v>0</v>
      </c>
      <c r="H222" s="26">
        <f t="shared" si="202"/>
        <v>0</v>
      </c>
      <c r="I222" s="26">
        <f t="shared" si="203"/>
        <v>0</v>
      </c>
      <c r="J222" s="26">
        <f t="shared" si="204"/>
        <v>0</v>
      </c>
      <c r="K222" s="26">
        <v>0</v>
      </c>
      <c r="L222" s="26">
        <f t="shared" si="205"/>
        <v>0</v>
      </c>
      <c r="Y222" s="27">
        <f t="shared" si="206"/>
        <v>0</v>
      </c>
      <c r="AA222" s="27">
        <f t="shared" si="207"/>
        <v>0</v>
      </c>
      <c r="AB222" s="27">
        <f t="shared" si="208"/>
        <v>0</v>
      </c>
      <c r="AC222" s="27">
        <f t="shared" si="209"/>
        <v>0</v>
      </c>
      <c r="AD222" s="27">
        <f t="shared" si="210"/>
        <v>0</v>
      </c>
      <c r="AE222" s="27">
        <f t="shared" si="211"/>
        <v>0</v>
      </c>
      <c r="AF222" s="27">
        <f t="shared" si="212"/>
        <v>0</v>
      </c>
      <c r="AG222" s="27">
        <f t="shared" si="213"/>
        <v>0</v>
      </c>
      <c r="AH222" s="17"/>
      <c r="AI222" s="26">
        <f t="shared" si="214"/>
        <v>0</v>
      </c>
      <c r="AJ222" s="26">
        <f t="shared" si="215"/>
        <v>0</v>
      </c>
      <c r="AK222" s="26">
        <f t="shared" si="216"/>
        <v>0</v>
      </c>
      <c r="AM222" s="27">
        <v>21</v>
      </c>
      <c r="AN222" s="27">
        <f t="shared" si="226"/>
        <v>0</v>
      </c>
      <c r="AO222" s="27">
        <f t="shared" si="227"/>
        <v>0</v>
      </c>
      <c r="AP222" s="28" t="s">
        <v>13</v>
      </c>
      <c r="AU222" s="27">
        <f t="shared" si="217"/>
        <v>0</v>
      </c>
      <c r="AV222" s="27">
        <f t="shared" si="218"/>
        <v>0</v>
      </c>
      <c r="AW222" s="27">
        <f t="shared" si="219"/>
        <v>0</v>
      </c>
      <c r="AX222" s="29" t="s">
        <v>787</v>
      </c>
      <c r="AY222" s="29" t="s">
        <v>794</v>
      </c>
      <c r="AZ222" s="17" t="s">
        <v>796</v>
      </c>
      <c r="BB222" s="27">
        <f t="shared" si="220"/>
        <v>0</v>
      </c>
      <c r="BC222" s="27">
        <f t="shared" si="221"/>
        <v>0</v>
      </c>
      <c r="BD222" s="27">
        <v>0</v>
      </c>
      <c r="BE222" s="27">
        <f t="shared" si="222"/>
        <v>0</v>
      </c>
      <c r="BG222" s="26">
        <f t="shared" si="223"/>
        <v>0</v>
      </c>
      <c r="BH222" s="26">
        <f t="shared" si="224"/>
        <v>0</v>
      </c>
      <c r="BI222" s="26">
        <f t="shared" si="225"/>
        <v>0</v>
      </c>
    </row>
    <row r="223" spans="1:61" ht="12.75" hidden="1">
      <c r="A223" s="24" t="s">
        <v>197</v>
      </c>
      <c r="B223" s="25"/>
      <c r="C223" s="25" t="s">
        <v>446</v>
      </c>
      <c r="D223" s="25" t="s">
        <v>694</v>
      </c>
      <c r="E223" s="25" t="s">
        <v>750</v>
      </c>
      <c r="F223" s="47">
        <v>0</v>
      </c>
      <c r="G223" s="26">
        <f>'Smluvní ceník'!G223</f>
        <v>0</v>
      </c>
      <c r="H223" s="26">
        <f t="shared" si="202"/>
        <v>0</v>
      </c>
      <c r="I223" s="26">
        <f t="shared" si="203"/>
        <v>0</v>
      </c>
      <c r="J223" s="26">
        <f t="shared" si="204"/>
        <v>0</v>
      </c>
      <c r="K223" s="26">
        <v>1E-05</v>
      </c>
      <c r="L223" s="26">
        <f t="shared" si="205"/>
        <v>0</v>
      </c>
      <c r="Y223" s="27">
        <f t="shared" si="206"/>
        <v>0</v>
      </c>
      <c r="AA223" s="27">
        <f t="shared" si="207"/>
        <v>0</v>
      </c>
      <c r="AB223" s="27">
        <f t="shared" si="208"/>
        <v>0</v>
      </c>
      <c r="AC223" s="27">
        <f t="shared" si="209"/>
        <v>0</v>
      </c>
      <c r="AD223" s="27">
        <f t="shared" si="210"/>
        <v>0</v>
      </c>
      <c r="AE223" s="27">
        <f t="shared" si="211"/>
        <v>0</v>
      </c>
      <c r="AF223" s="27">
        <f t="shared" si="212"/>
        <v>0</v>
      </c>
      <c r="AG223" s="27">
        <f t="shared" si="213"/>
        <v>0</v>
      </c>
      <c r="AH223" s="17"/>
      <c r="AI223" s="26">
        <f t="shared" si="214"/>
        <v>0</v>
      </c>
      <c r="AJ223" s="26">
        <f t="shared" si="215"/>
        <v>0</v>
      </c>
      <c r="AK223" s="26">
        <f t="shared" si="216"/>
        <v>0</v>
      </c>
      <c r="AM223" s="27">
        <v>21</v>
      </c>
      <c r="AN223" s="27">
        <f>G223*0.0513903555086237</f>
        <v>0</v>
      </c>
      <c r="AO223" s="27">
        <f>G223*(1-0.0513903555086237)</f>
        <v>0</v>
      </c>
      <c r="AP223" s="28" t="s">
        <v>13</v>
      </c>
      <c r="AU223" s="27">
        <f t="shared" si="217"/>
        <v>0</v>
      </c>
      <c r="AV223" s="27">
        <f t="shared" si="218"/>
        <v>0</v>
      </c>
      <c r="AW223" s="27">
        <f t="shared" si="219"/>
        <v>0</v>
      </c>
      <c r="AX223" s="29" t="s">
        <v>787</v>
      </c>
      <c r="AY223" s="29" t="s">
        <v>794</v>
      </c>
      <c r="AZ223" s="17" t="s">
        <v>796</v>
      </c>
      <c r="BB223" s="27">
        <f t="shared" si="220"/>
        <v>0</v>
      </c>
      <c r="BC223" s="27">
        <f t="shared" si="221"/>
        <v>0</v>
      </c>
      <c r="BD223" s="27">
        <v>0</v>
      </c>
      <c r="BE223" s="27">
        <f t="shared" si="222"/>
        <v>0</v>
      </c>
      <c r="BG223" s="26">
        <f t="shared" si="223"/>
        <v>0</v>
      </c>
      <c r="BH223" s="26">
        <f t="shared" si="224"/>
        <v>0</v>
      </c>
      <c r="BI223" s="26">
        <f t="shared" si="225"/>
        <v>0</v>
      </c>
    </row>
    <row r="224" spans="1:61" ht="12.75" hidden="1">
      <c r="A224" s="24" t="s">
        <v>198</v>
      </c>
      <c r="B224" s="25"/>
      <c r="C224" s="25" t="s">
        <v>447</v>
      </c>
      <c r="D224" s="25" t="s">
        <v>695</v>
      </c>
      <c r="E224" s="25" t="s">
        <v>750</v>
      </c>
      <c r="F224" s="47">
        <v>0</v>
      </c>
      <c r="G224" s="26">
        <f>'Smluvní ceník'!G224</f>
        <v>0</v>
      </c>
      <c r="H224" s="26">
        <f t="shared" si="202"/>
        <v>0</v>
      </c>
      <c r="I224" s="26">
        <f t="shared" si="203"/>
        <v>0</v>
      </c>
      <c r="J224" s="26">
        <f t="shared" si="204"/>
        <v>0</v>
      </c>
      <c r="K224" s="26">
        <v>0.00031</v>
      </c>
      <c r="L224" s="26">
        <f t="shared" si="205"/>
        <v>0</v>
      </c>
      <c r="Y224" s="27">
        <f t="shared" si="206"/>
        <v>0</v>
      </c>
      <c r="AA224" s="27">
        <f t="shared" si="207"/>
        <v>0</v>
      </c>
      <c r="AB224" s="27">
        <f t="shared" si="208"/>
        <v>0</v>
      </c>
      <c r="AC224" s="27">
        <f t="shared" si="209"/>
        <v>0</v>
      </c>
      <c r="AD224" s="27">
        <f t="shared" si="210"/>
        <v>0</v>
      </c>
      <c r="AE224" s="27">
        <f t="shared" si="211"/>
        <v>0</v>
      </c>
      <c r="AF224" s="27">
        <f t="shared" si="212"/>
        <v>0</v>
      </c>
      <c r="AG224" s="27">
        <f t="shared" si="213"/>
        <v>0</v>
      </c>
      <c r="AH224" s="17"/>
      <c r="AI224" s="26">
        <f t="shared" si="214"/>
        <v>0</v>
      </c>
      <c r="AJ224" s="26">
        <f t="shared" si="215"/>
        <v>0</v>
      </c>
      <c r="AK224" s="26">
        <f t="shared" si="216"/>
        <v>0</v>
      </c>
      <c r="AM224" s="27">
        <v>21</v>
      </c>
      <c r="AN224" s="27">
        <f>G224*0.0992982456140351</f>
        <v>0</v>
      </c>
      <c r="AO224" s="27">
        <f>G224*(1-0.0992982456140351)</f>
        <v>0</v>
      </c>
      <c r="AP224" s="28" t="s">
        <v>13</v>
      </c>
      <c r="AU224" s="27">
        <f t="shared" si="217"/>
        <v>0</v>
      </c>
      <c r="AV224" s="27">
        <f t="shared" si="218"/>
        <v>0</v>
      </c>
      <c r="AW224" s="27">
        <f t="shared" si="219"/>
        <v>0</v>
      </c>
      <c r="AX224" s="29" t="s">
        <v>787</v>
      </c>
      <c r="AY224" s="29" t="s">
        <v>794</v>
      </c>
      <c r="AZ224" s="17" t="s">
        <v>796</v>
      </c>
      <c r="BB224" s="27">
        <f t="shared" si="220"/>
        <v>0</v>
      </c>
      <c r="BC224" s="27">
        <f t="shared" si="221"/>
        <v>0</v>
      </c>
      <c r="BD224" s="27">
        <v>0</v>
      </c>
      <c r="BE224" s="27">
        <f t="shared" si="222"/>
        <v>0</v>
      </c>
      <c r="BG224" s="26">
        <f t="shared" si="223"/>
        <v>0</v>
      </c>
      <c r="BH224" s="26">
        <f t="shared" si="224"/>
        <v>0</v>
      </c>
      <c r="BI224" s="26">
        <f t="shared" si="225"/>
        <v>0</v>
      </c>
    </row>
    <row r="225" spans="1:61" ht="12.75">
      <c r="A225" s="24" t="s">
        <v>199</v>
      </c>
      <c r="B225" s="25"/>
      <c r="C225" s="25" t="s">
        <v>448</v>
      </c>
      <c r="D225" s="25" t="s">
        <v>696</v>
      </c>
      <c r="E225" s="25" t="s">
        <v>750</v>
      </c>
      <c r="F225" s="47">
        <v>20</v>
      </c>
      <c r="G225" s="26">
        <f>'Smluvní ceník'!G225</f>
        <v>0</v>
      </c>
      <c r="H225" s="26">
        <f t="shared" si="202"/>
        <v>0</v>
      </c>
      <c r="I225" s="26">
        <f t="shared" si="203"/>
        <v>0</v>
      </c>
      <c r="J225" s="26">
        <f t="shared" si="204"/>
        <v>0</v>
      </c>
      <c r="K225" s="26">
        <v>0.00015</v>
      </c>
      <c r="L225" s="26">
        <f t="shared" si="205"/>
        <v>0.0029999999999999996</v>
      </c>
      <c r="Y225" s="27">
        <f t="shared" si="206"/>
        <v>0</v>
      </c>
      <c r="AA225" s="27">
        <f t="shared" si="207"/>
        <v>0</v>
      </c>
      <c r="AB225" s="27">
        <f t="shared" si="208"/>
        <v>0</v>
      </c>
      <c r="AC225" s="27">
        <f t="shared" si="209"/>
        <v>0</v>
      </c>
      <c r="AD225" s="27">
        <f t="shared" si="210"/>
        <v>0</v>
      </c>
      <c r="AE225" s="27">
        <f t="shared" si="211"/>
        <v>0</v>
      </c>
      <c r="AF225" s="27">
        <f t="shared" si="212"/>
        <v>0</v>
      </c>
      <c r="AG225" s="27">
        <f t="shared" si="213"/>
        <v>0</v>
      </c>
      <c r="AH225" s="17"/>
      <c r="AI225" s="26">
        <f t="shared" si="214"/>
        <v>0</v>
      </c>
      <c r="AJ225" s="26">
        <f t="shared" si="215"/>
        <v>0</v>
      </c>
      <c r="AK225" s="26">
        <f t="shared" si="216"/>
        <v>0</v>
      </c>
      <c r="AM225" s="27">
        <v>21</v>
      </c>
      <c r="AN225" s="27">
        <f>G225*0.370258302583026</f>
        <v>0</v>
      </c>
      <c r="AO225" s="27">
        <f>G225*(1-0.370258302583026)</f>
        <v>0</v>
      </c>
      <c r="AP225" s="28" t="s">
        <v>13</v>
      </c>
      <c r="AU225" s="27">
        <f t="shared" si="217"/>
        <v>0</v>
      </c>
      <c r="AV225" s="27">
        <f t="shared" si="218"/>
        <v>0</v>
      </c>
      <c r="AW225" s="27">
        <f t="shared" si="219"/>
        <v>0</v>
      </c>
      <c r="AX225" s="29" t="s">
        <v>787</v>
      </c>
      <c r="AY225" s="29" t="s">
        <v>794</v>
      </c>
      <c r="AZ225" s="17" t="s">
        <v>796</v>
      </c>
      <c r="BB225" s="27">
        <f t="shared" si="220"/>
        <v>0</v>
      </c>
      <c r="BC225" s="27">
        <f t="shared" si="221"/>
        <v>0</v>
      </c>
      <c r="BD225" s="27">
        <v>0</v>
      </c>
      <c r="BE225" s="27">
        <f t="shared" si="222"/>
        <v>0.0029999999999999996</v>
      </c>
      <c r="BG225" s="26">
        <f t="shared" si="223"/>
        <v>0</v>
      </c>
      <c r="BH225" s="26">
        <f t="shared" si="224"/>
        <v>0</v>
      </c>
      <c r="BI225" s="26">
        <f t="shared" si="225"/>
        <v>0</v>
      </c>
    </row>
    <row r="226" spans="1:61" ht="12.75">
      <c r="A226" s="24" t="s">
        <v>200</v>
      </c>
      <c r="B226" s="25"/>
      <c r="C226" s="25" t="s">
        <v>420</v>
      </c>
      <c r="D226" s="25" t="s">
        <v>668</v>
      </c>
      <c r="E226" s="25" t="s">
        <v>750</v>
      </c>
      <c r="F226" s="47">
        <v>20</v>
      </c>
      <c r="G226" s="26">
        <f>'Smluvní ceník'!G226</f>
        <v>0</v>
      </c>
      <c r="H226" s="26">
        <f t="shared" si="202"/>
        <v>0</v>
      </c>
      <c r="I226" s="26">
        <f t="shared" si="203"/>
        <v>0</v>
      </c>
      <c r="J226" s="26">
        <f t="shared" si="204"/>
        <v>0</v>
      </c>
      <c r="K226" s="26">
        <v>0.00022</v>
      </c>
      <c r="L226" s="26">
        <f t="shared" si="205"/>
        <v>0.0044</v>
      </c>
      <c r="Y226" s="27">
        <f t="shared" si="206"/>
        <v>0</v>
      </c>
      <c r="AA226" s="27">
        <f t="shared" si="207"/>
        <v>0</v>
      </c>
      <c r="AB226" s="27">
        <f t="shared" si="208"/>
        <v>0</v>
      </c>
      <c r="AC226" s="27">
        <f t="shared" si="209"/>
        <v>0</v>
      </c>
      <c r="AD226" s="27">
        <f t="shared" si="210"/>
        <v>0</v>
      </c>
      <c r="AE226" s="27">
        <f t="shared" si="211"/>
        <v>0</v>
      </c>
      <c r="AF226" s="27">
        <f t="shared" si="212"/>
        <v>0</v>
      </c>
      <c r="AG226" s="27">
        <f t="shared" si="213"/>
        <v>0</v>
      </c>
      <c r="AH226" s="17"/>
      <c r="AI226" s="26">
        <f t="shared" si="214"/>
        <v>0</v>
      </c>
      <c r="AJ226" s="26">
        <f t="shared" si="215"/>
        <v>0</v>
      </c>
      <c r="AK226" s="26">
        <f t="shared" si="216"/>
        <v>0</v>
      </c>
      <c r="AM226" s="27">
        <v>21</v>
      </c>
      <c r="AN226" s="27">
        <f>G226*0.223854613392213</f>
        <v>0</v>
      </c>
      <c r="AO226" s="27">
        <f>G226*(1-0.223854613392213)</f>
        <v>0</v>
      </c>
      <c r="AP226" s="28" t="s">
        <v>13</v>
      </c>
      <c r="AU226" s="27">
        <f t="shared" si="217"/>
        <v>0</v>
      </c>
      <c r="AV226" s="27">
        <f t="shared" si="218"/>
        <v>0</v>
      </c>
      <c r="AW226" s="27">
        <f t="shared" si="219"/>
        <v>0</v>
      </c>
      <c r="AX226" s="29" t="s">
        <v>787</v>
      </c>
      <c r="AY226" s="29" t="s">
        <v>794</v>
      </c>
      <c r="AZ226" s="17" t="s">
        <v>796</v>
      </c>
      <c r="BB226" s="27">
        <f t="shared" si="220"/>
        <v>0</v>
      </c>
      <c r="BC226" s="27">
        <f t="shared" si="221"/>
        <v>0</v>
      </c>
      <c r="BD226" s="27">
        <v>0</v>
      </c>
      <c r="BE226" s="27">
        <f t="shared" si="222"/>
        <v>0.0044</v>
      </c>
      <c r="BG226" s="26">
        <f t="shared" si="223"/>
        <v>0</v>
      </c>
      <c r="BH226" s="26">
        <f t="shared" si="224"/>
        <v>0</v>
      </c>
      <c r="BI226" s="26">
        <f t="shared" si="225"/>
        <v>0</v>
      </c>
    </row>
    <row r="227" spans="1:61" ht="12.75">
      <c r="A227" s="24" t="s">
        <v>201</v>
      </c>
      <c r="B227" s="25"/>
      <c r="C227" s="25" t="s">
        <v>449</v>
      </c>
      <c r="D227" s="25" t="s">
        <v>697</v>
      </c>
      <c r="E227" s="25" t="s">
        <v>750</v>
      </c>
      <c r="F227" s="47">
        <v>30</v>
      </c>
      <c r="G227" s="26">
        <f>'Smluvní ceník'!G227</f>
        <v>0</v>
      </c>
      <c r="H227" s="26">
        <f t="shared" si="202"/>
        <v>0</v>
      </c>
      <c r="I227" s="26">
        <f t="shared" si="203"/>
        <v>0</v>
      </c>
      <c r="J227" s="26">
        <f t="shared" si="204"/>
        <v>0</v>
      </c>
      <c r="K227" s="26">
        <v>1E-05</v>
      </c>
      <c r="L227" s="26">
        <f t="shared" si="205"/>
        <v>0.00030000000000000003</v>
      </c>
      <c r="Y227" s="27">
        <f t="shared" si="206"/>
        <v>0</v>
      </c>
      <c r="AA227" s="27">
        <f t="shared" si="207"/>
        <v>0</v>
      </c>
      <c r="AB227" s="27">
        <f t="shared" si="208"/>
        <v>0</v>
      </c>
      <c r="AC227" s="27">
        <f t="shared" si="209"/>
        <v>0</v>
      </c>
      <c r="AD227" s="27">
        <f t="shared" si="210"/>
        <v>0</v>
      </c>
      <c r="AE227" s="27">
        <f t="shared" si="211"/>
        <v>0</v>
      </c>
      <c r="AF227" s="27">
        <f t="shared" si="212"/>
        <v>0</v>
      </c>
      <c r="AG227" s="27">
        <f t="shared" si="213"/>
        <v>0</v>
      </c>
      <c r="AH227" s="17"/>
      <c r="AI227" s="26">
        <f t="shared" si="214"/>
        <v>0</v>
      </c>
      <c r="AJ227" s="26">
        <f t="shared" si="215"/>
        <v>0</v>
      </c>
      <c r="AK227" s="26">
        <f t="shared" si="216"/>
        <v>0</v>
      </c>
      <c r="AM227" s="27">
        <v>21</v>
      </c>
      <c r="AN227" s="27">
        <f>G227*0.0633333333333333</f>
        <v>0</v>
      </c>
      <c r="AO227" s="27">
        <f>G227*(1-0.0633333333333333)</f>
        <v>0</v>
      </c>
      <c r="AP227" s="28" t="s">
        <v>13</v>
      </c>
      <c r="AU227" s="27">
        <f t="shared" si="217"/>
        <v>0</v>
      </c>
      <c r="AV227" s="27">
        <f t="shared" si="218"/>
        <v>0</v>
      </c>
      <c r="AW227" s="27">
        <f t="shared" si="219"/>
        <v>0</v>
      </c>
      <c r="AX227" s="29" t="s">
        <v>787</v>
      </c>
      <c r="AY227" s="29" t="s">
        <v>794</v>
      </c>
      <c r="AZ227" s="17" t="s">
        <v>796</v>
      </c>
      <c r="BB227" s="27">
        <f t="shared" si="220"/>
        <v>0</v>
      </c>
      <c r="BC227" s="27">
        <f t="shared" si="221"/>
        <v>0</v>
      </c>
      <c r="BD227" s="27">
        <v>0</v>
      </c>
      <c r="BE227" s="27">
        <f t="shared" si="222"/>
        <v>0.00030000000000000003</v>
      </c>
      <c r="BG227" s="26">
        <f t="shared" si="223"/>
        <v>0</v>
      </c>
      <c r="BH227" s="26">
        <f t="shared" si="224"/>
        <v>0</v>
      </c>
      <c r="BI227" s="26">
        <f t="shared" si="225"/>
        <v>0</v>
      </c>
    </row>
    <row r="228" spans="1:61" ht="12.75" hidden="1">
      <c r="A228" s="24" t="s">
        <v>202</v>
      </c>
      <c r="B228" s="25"/>
      <c r="C228" s="25" t="s">
        <v>423</v>
      </c>
      <c r="D228" s="25" t="s">
        <v>671</v>
      </c>
      <c r="E228" s="25" t="s">
        <v>750</v>
      </c>
      <c r="F228" s="47">
        <v>0</v>
      </c>
      <c r="G228" s="26">
        <f>'Smluvní ceník'!G228</f>
        <v>0</v>
      </c>
      <c r="H228" s="26">
        <f t="shared" si="202"/>
        <v>0</v>
      </c>
      <c r="I228" s="26">
        <f t="shared" si="203"/>
        <v>0</v>
      </c>
      <c r="J228" s="26">
        <f t="shared" si="204"/>
        <v>0</v>
      </c>
      <c r="K228" s="26">
        <v>7E-05</v>
      </c>
      <c r="L228" s="26">
        <f t="shared" si="205"/>
        <v>0</v>
      </c>
      <c r="Y228" s="27">
        <f t="shared" si="206"/>
        <v>0</v>
      </c>
      <c r="AA228" s="27">
        <f t="shared" si="207"/>
        <v>0</v>
      </c>
      <c r="AB228" s="27">
        <f t="shared" si="208"/>
        <v>0</v>
      </c>
      <c r="AC228" s="27">
        <f t="shared" si="209"/>
        <v>0</v>
      </c>
      <c r="AD228" s="27">
        <f t="shared" si="210"/>
        <v>0</v>
      </c>
      <c r="AE228" s="27">
        <f t="shared" si="211"/>
        <v>0</v>
      </c>
      <c r="AF228" s="27">
        <f t="shared" si="212"/>
        <v>0</v>
      </c>
      <c r="AG228" s="27">
        <f t="shared" si="213"/>
        <v>0</v>
      </c>
      <c r="AH228" s="17"/>
      <c r="AI228" s="26">
        <f t="shared" si="214"/>
        <v>0</v>
      </c>
      <c r="AJ228" s="26">
        <f t="shared" si="215"/>
        <v>0</v>
      </c>
      <c r="AK228" s="26">
        <f t="shared" si="216"/>
        <v>0</v>
      </c>
      <c r="AM228" s="27">
        <v>21</v>
      </c>
      <c r="AN228" s="27">
        <f>G228*0.0694300518134715</f>
        <v>0</v>
      </c>
      <c r="AO228" s="27">
        <f>G228*(1-0.0694300518134715)</f>
        <v>0</v>
      </c>
      <c r="AP228" s="28" t="s">
        <v>13</v>
      </c>
      <c r="AU228" s="27">
        <f t="shared" si="217"/>
        <v>0</v>
      </c>
      <c r="AV228" s="27">
        <f t="shared" si="218"/>
        <v>0</v>
      </c>
      <c r="AW228" s="27">
        <f t="shared" si="219"/>
        <v>0</v>
      </c>
      <c r="AX228" s="29" t="s">
        <v>787</v>
      </c>
      <c r="AY228" s="29" t="s">
        <v>794</v>
      </c>
      <c r="AZ228" s="17" t="s">
        <v>796</v>
      </c>
      <c r="BB228" s="27">
        <f t="shared" si="220"/>
        <v>0</v>
      </c>
      <c r="BC228" s="27">
        <f t="shared" si="221"/>
        <v>0</v>
      </c>
      <c r="BD228" s="27">
        <v>0</v>
      </c>
      <c r="BE228" s="27">
        <f t="shared" si="222"/>
        <v>0</v>
      </c>
      <c r="BG228" s="26">
        <f t="shared" si="223"/>
        <v>0</v>
      </c>
      <c r="BH228" s="26">
        <f t="shared" si="224"/>
        <v>0</v>
      </c>
      <c r="BI228" s="26">
        <f t="shared" si="225"/>
        <v>0</v>
      </c>
    </row>
    <row r="229" spans="1:61" ht="12.75" hidden="1">
      <c r="A229" s="24" t="s">
        <v>203</v>
      </c>
      <c r="B229" s="25"/>
      <c r="C229" s="25" t="s">
        <v>450</v>
      </c>
      <c r="D229" s="25" t="s">
        <v>698</v>
      </c>
      <c r="E229" s="25" t="s">
        <v>750</v>
      </c>
      <c r="F229" s="47">
        <v>0</v>
      </c>
      <c r="G229" s="26">
        <f>'Smluvní ceník'!G229</f>
        <v>0</v>
      </c>
      <c r="H229" s="26">
        <f t="shared" si="202"/>
        <v>0</v>
      </c>
      <c r="I229" s="26">
        <f t="shared" si="203"/>
        <v>0</v>
      </c>
      <c r="J229" s="26">
        <f t="shared" si="204"/>
        <v>0</v>
      </c>
      <c r="K229" s="26">
        <v>0.00025</v>
      </c>
      <c r="L229" s="26">
        <f t="shared" si="205"/>
        <v>0</v>
      </c>
      <c r="Y229" s="27">
        <f t="shared" si="206"/>
        <v>0</v>
      </c>
      <c r="AA229" s="27">
        <f t="shared" si="207"/>
        <v>0</v>
      </c>
      <c r="AB229" s="27">
        <f t="shared" si="208"/>
        <v>0</v>
      </c>
      <c r="AC229" s="27">
        <f t="shared" si="209"/>
        <v>0</v>
      </c>
      <c r="AD229" s="27">
        <f t="shared" si="210"/>
        <v>0</v>
      </c>
      <c r="AE229" s="27">
        <f t="shared" si="211"/>
        <v>0</v>
      </c>
      <c r="AF229" s="27">
        <f t="shared" si="212"/>
        <v>0</v>
      </c>
      <c r="AG229" s="27">
        <f t="shared" si="213"/>
        <v>0</v>
      </c>
      <c r="AH229" s="17"/>
      <c r="AI229" s="26">
        <f t="shared" si="214"/>
        <v>0</v>
      </c>
      <c r="AJ229" s="26">
        <f t="shared" si="215"/>
        <v>0</v>
      </c>
      <c r="AK229" s="26">
        <f t="shared" si="216"/>
        <v>0</v>
      </c>
      <c r="AM229" s="27">
        <v>21</v>
      </c>
      <c r="AN229" s="27">
        <f>G229*0.172901982047111</f>
        <v>0</v>
      </c>
      <c r="AO229" s="27">
        <f>G229*(1-0.172901982047111)</f>
        <v>0</v>
      </c>
      <c r="AP229" s="28" t="s">
        <v>13</v>
      </c>
      <c r="AU229" s="27">
        <f t="shared" si="217"/>
        <v>0</v>
      </c>
      <c r="AV229" s="27">
        <f t="shared" si="218"/>
        <v>0</v>
      </c>
      <c r="AW229" s="27">
        <f t="shared" si="219"/>
        <v>0</v>
      </c>
      <c r="AX229" s="29" t="s">
        <v>787</v>
      </c>
      <c r="AY229" s="29" t="s">
        <v>794</v>
      </c>
      <c r="AZ229" s="17" t="s">
        <v>796</v>
      </c>
      <c r="BB229" s="27">
        <f t="shared" si="220"/>
        <v>0</v>
      </c>
      <c r="BC229" s="27">
        <f t="shared" si="221"/>
        <v>0</v>
      </c>
      <c r="BD229" s="27">
        <v>0</v>
      </c>
      <c r="BE229" s="27">
        <f t="shared" si="222"/>
        <v>0</v>
      </c>
      <c r="BG229" s="26">
        <f t="shared" si="223"/>
        <v>0</v>
      </c>
      <c r="BH229" s="26">
        <f t="shared" si="224"/>
        <v>0</v>
      </c>
      <c r="BI229" s="26">
        <f t="shared" si="225"/>
        <v>0</v>
      </c>
    </row>
    <row r="230" spans="1:61" ht="12.75">
      <c r="A230" s="24" t="s">
        <v>204</v>
      </c>
      <c r="B230" s="25"/>
      <c r="C230" s="25" t="s">
        <v>451</v>
      </c>
      <c r="D230" s="25" t="s">
        <v>699</v>
      </c>
      <c r="E230" s="25" t="s">
        <v>750</v>
      </c>
      <c r="F230" s="47">
        <v>20</v>
      </c>
      <c r="G230" s="26">
        <f>'Smluvní ceník'!G230</f>
        <v>0</v>
      </c>
      <c r="H230" s="26">
        <f t="shared" si="202"/>
        <v>0</v>
      </c>
      <c r="I230" s="26">
        <f t="shared" si="203"/>
        <v>0</v>
      </c>
      <c r="J230" s="26">
        <f t="shared" si="204"/>
        <v>0</v>
      </c>
      <c r="K230" s="26">
        <v>0.00023</v>
      </c>
      <c r="L230" s="26">
        <f t="shared" si="205"/>
        <v>0.0046</v>
      </c>
      <c r="Y230" s="27">
        <f t="shared" si="206"/>
        <v>0</v>
      </c>
      <c r="AA230" s="27">
        <f t="shared" si="207"/>
        <v>0</v>
      </c>
      <c r="AB230" s="27">
        <f t="shared" si="208"/>
        <v>0</v>
      </c>
      <c r="AC230" s="27">
        <f t="shared" si="209"/>
        <v>0</v>
      </c>
      <c r="AD230" s="27">
        <f t="shared" si="210"/>
        <v>0</v>
      </c>
      <c r="AE230" s="27">
        <f t="shared" si="211"/>
        <v>0</v>
      </c>
      <c r="AF230" s="27">
        <f t="shared" si="212"/>
        <v>0</v>
      </c>
      <c r="AG230" s="27">
        <f t="shared" si="213"/>
        <v>0</v>
      </c>
      <c r="AH230" s="17"/>
      <c r="AI230" s="26">
        <f t="shared" si="214"/>
        <v>0</v>
      </c>
      <c r="AJ230" s="26">
        <f t="shared" si="215"/>
        <v>0</v>
      </c>
      <c r="AK230" s="26">
        <f t="shared" si="216"/>
        <v>0</v>
      </c>
      <c r="AM230" s="27">
        <v>21</v>
      </c>
      <c r="AN230" s="27">
        <f>G230*0.242220353238015</f>
        <v>0</v>
      </c>
      <c r="AO230" s="27">
        <f>G230*(1-0.242220353238015)</f>
        <v>0</v>
      </c>
      <c r="AP230" s="28" t="s">
        <v>13</v>
      </c>
      <c r="AU230" s="27">
        <f t="shared" si="217"/>
        <v>0</v>
      </c>
      <c r="AV230" s="27">
        <f t="shared" si="218"/>
        <v>0</v>
      </c>
      <c r="AW230" s="27">
        <f t="shared" si="219"/>
        <v>0</v>
      </c>
      <c r="AX230" s="29" t="s">
        <v>787</v>
      </c>
      <c r="AY230" s="29" t="s">
        <v>794</v>
      </c>
      <c r="AZ230" s="17" t="s">
        <v>796</v>
      </c>
      <c r="BB230" s="27">
        <f t="shared" si="220"/>
        <v>0</v>
      </c>
      <c r="BC230" s="27">
        <f t="shared" si="221"/>
        <v>0</v>
      </c>
      <c r="BD230" s="27">
        <v>0</v>
      </c>
      <c r="BE230" s="27">
        <f t="shared" si="222"/>
        <v>0.0046</v>
      </c>
      <c r="BG230" s="26">
        <f t="shared" si="223"/>
        <v>0</v>
      </c>
      <c r="BH230" s="26">
        <f t="shared" si="224"/>
        <v>0</v>
      </c>
      <c r="BI230" s="26">
        <f t="shared" si="225"/>
        <v>0</v>
      </c>
    </row>
    <row r="231" spans="1:61" ht="12.75" hidden="1">
      <c r="A231" s="24" t="s">
        <v>205</v>
      </c>
      <c r="B231" s="25"/>
      <c r="C231" s="25" t="s">
        <v>452</v>
      </c>
      <c r="D231" s="25" t="s">
        <v>700</v>
      </c>
      <c r="E231" s="25" t="s">
        <v>750</v>
      </c>
      <c r="F231" s="47">
        <v>0</v>
      </c>
      <c r="G231" s="26">
        <f>'Smluvní ceník'!G231</f>
        <v>0</v>
      </c>
      <c r="H231" s="26">
        <f t="shared" si="202"/>
        <v>0</v>
      </c>
      <c r="I231" s="26">
        <f t="shared" si="203"/>
        <v>0</v>
      </c>
      <c r="J231" s="26">
        <f t="shared" si="204"/>
        <v>0</v>
      </c>
      <c r="K231" s="26">
        <v>0.00045</v>
      </c>
      <c r="L231" s="26">
        <f t="shared" si="205"/>
        <v>0</v>
      </c>
      <c r="Y231" s="27">
        <f t="shared" si="206"/>
        <v>0</v>
      </c>
      <c r="AA231" s="27">
        <f t="shared" si="207"/>
        <v>0</v>
      </c>
      <c r="AB231" s="27">
        <f t="shared" si="208"/>
        <v>0</v>
      </c>
      <c r="AC231" s="27">
        <f t="shared" si="209"/>
        <v>0</v>
      </c>
      <c r="AD231" s="27">
        <f t="shared" si="210"/>
        <v>0</v>
      </c>
      <c r="AE231" s="27">
        <f t="shared" si="211"/>
        <v>0</v>
      </c>
      <c r="AF231" s="27">
        <f t="shared" si="212"/>
        <v>0</v>
      </c>
      <c r="AG231" s="27">
        <f t="shared" si="213"/>
        <v>0</v>
      </c>
      <c r="AH231" s="17"/>
      <c r="AI231" s="26">
        <f t="shared" si="214"/>
        <v>0</v>
      </c>
      <c r="AJ231" s="26">
        <f t="shared" si="215"/>
        <v>0</v>
      </c>
      <c r="AK231" s="26">
        <f t="shared" si="216"/>
        <v>0</v>
      </c>
      <c r="AM231" s="27">
        <v>21</v>
      </c>
      <c r="AN231" s="27">
        <f>G231*0.325215419501134</f>
        <v>0</v>
      </c>
      <c r="AO231" s="27">
        <f>G231*(1-0.325215419501134)</f>
        <v>0</v>
      </c>
      <c r="AP231" s="28" t="s">
        <v>13</v>
      </c>
      <c r="AU231" s="27">
        <f t="shared" si="217"/>
        <v>0</v>
      </c>
      <c r="AV231" s="27">
        <f t="shared" si="218"/>
        <v>0</v>
      </c>
      <c r="AW231" s="27">
        <f t="shared" si="219"/>
        <v>0</v>
      </c>
      <c r="AX231" s="29" t="s">
        <v>787</v>
      </c>
      <c r="AY231" s="29" t="s">
        <v>794</v>
      </c>
      <c r="AZ231" s="17" t="s">
        <v>796</v>
      </c>
      <c r="BB231" s="27">
        <f t="shared" si="220"/>
        <v>0</v>
      </c>
      <c r="BC231" s="27">
        <f t="shared" si="221"/>
        <v>0</v>
      </c>
      <c r="BD231" s="27">
        <v>0</v>
      </c>
      <c r="BE231" s="27">
        <f t="shared" si="222"/>
        <v>0</v>
      </c>
      <c r="BG231" s="26">
        <f t="shared" si="223"/>
        <v>0</v>
      </c>
      <c r="BH231" s="26">
        <f t="shared" si="224"/>
        <v>0</v>
      </c>
      <c r="BI231" s="26">
        <f t="shared" si="225"/>
        <v>0</v>
      </c>
    </row>
    <row r="232" spans="1:61" ht="12.75" hidden="1">
      <c r="A232" s="24" t="s">
        <v>206</v>
      </c>
      <c r="B232" s="25"/>
      <c r="C232" s="25" t="s">
        <v>453</v>
      </c>
      <c r="D232" s="25" t="s">
        <v>701</v>
      </c>
      <c r="E232" s="25" t="s">
        <v>750</v>
      </c>
      <c r="F232" s="47">
        <v>0</v>
      </c>
      <c r="G232" s="26">
        <f>'Smluvní ceník'!G232</f>
        <v>0</v>
      </c>
      <c r="H232" s="26">
        <f t="shared" si="202"/>
        <v>0</v>
      </c>
      <c r="I232" s="26">
        <f t="shared" si="203"/>
        <v>0</v>
      </c>
      <c r="J232" s="26">
        <f t="shared" si="204"/>
        <v>0</v>
      </c>
      <c r="K232" s="26">
        <v>0.00034</v>
      </c>
      <c r="L232" s="26">
        <f t="shared" si="205"/>
        <v>0</v>
      </c>
      <c r="Y232" s="27">
        <f t="shared" si="206"/>
        <v>0</v>
      </c>
      <c r="AA232" s="27">
        <f t="shared" si="207"/>
        <v>0</v>
      </c>
      <c r="AB232" s="27">
        <f t="shared" si="208"/>
        <v>0</v>
      </c>
      <c r="AC232" s="27">
        <f t="shared" si="209"/>
        <v>0</v>
      </c>
      <c r="AD232" s="27">
        <f t="shared" si="210"/>
        <v>0</v>
      </c>
      <c r="AE232" s="27">
        <f t="shared" si="211"/>
        <v>0</v>
      </c>
      <c r="AF232" s="27">
        <f t="shared" si="212"/>
        <v>0</v>
      </c>
      <c r="AG232" s="27">
        <f t="shared" si="213"/>
        <v>0</v>
      </c>
      <c r="AH232" s="17"/>
      <c r="AI232" s="26">
        <f t="shared" si="214"/>
        <v>0</v>
      </c>
      <c r="AJ232" s="26">
        <f t="shared" si="215"/>
        <v>0</v>
      </c>
      <c r="AK232" s="26">
        <f t="shared" si="216"/>
        <v>0</v>
      </c>
      <c r="AM232" s="27">
        <v>21</v>
      </c>
      <c r="AN232" s="27">
        <f>G232*0.219353144557749</f>
        <v>0</v>
      </c>
      <c r="AO232" s="27">
        <f>G232*(1-0.219353144557749)</f>
        <v>0</v>
      </c>
      <c r="AP232" s="28" t="s">
        <v>13</v>
      </c>
      <c r="AU232" s="27">
        <f t="shared" si="217"/>
        <v>0</v>
      </c>
      <c r="AV232" s="27">
        <f t="shared" si="218"/>
        <v>0</v>
      </c>
      <c r="AW232" s="27">
        <f t="shared" si="219"/>
        <v>0</v>
      </c>
      <c r="AX232" s="29" t="s">
        <v>787</v>
      </c>
      <c r="AY232" s="29" t="s">
        <v>794</v>
      </c>
      <c r="AZ232" s="17" t="s">
        <v>796</v>
      </c>
      <c r="BB232" s="27">
        <f t="shared" si="220"/>
        <v>0</v>
      </c>
      <c r="BC232" s="27">
        <f t="shared" si="221"/>
        <v>0</v>
      </c>
      <c r="BD232" s="27">
        <v>0</v>
      </c>
      <c r="BE232" s="27">
        <f t="shared" si="222"/>
        <v>0</v>
      </c>
      <c r="BG232" s="26">
        <f t="shared" si="223"/>
        <v>0</v>
      </c>
      <c r="BH232" s="26">
        <f t="shared" si="224"/>
        <v>0</v>
      </c>
      <c r="BI232" s="26">
        <f t="shared" si="225"/>
        <v>0</v>
      </c>
    </row>
    <row r="233" spans="1:61" ht="12.75">
      <c r="A233" s="24" t="s">
        <v>207</v>
      </c>
      <c r="B233" s="25"/>
      <c r="C233" s="25" t="s">
        <v>454</v>
      </c>
      <c r="D233" s="25" t="s">
        <v>702</v>
      </c>
      <c r="E233" s="25" t="s">
        <v>750</v>
      </c>
      <c r="F233" s="47">
        <v>20</v>
      </c>
      <c r="G233" s="26">
        <f>'Smluvní ceník'!G233</f>
        <v>0</v>
      </c>
      <c r="H233" s="26">
        <f t="shared" si="202"/>
        <v>0</v>
      </c>
      <c r="I233" s="26">
        <f t="shared" si="203"/>
        <v>0</v>
      </c>
      <c r="J233" s="26">
        <f t="shared" si="204"/>
        <v>0</v>
      </c>
      <c r="K233" s="26">
        <v>0</v>
      </c>
      <c r="L233" s="26">
        <f t="shared" si="205"/>
        <v>0</v>
      </c>
      <c r="Y233" s="27">
        <f t="shared" si="206"/>
        <v>0</v>
      </c>
      <c r="AA233" s="27">
        <f t="shared" si="207"/>
        <v>0</v>
      </c>
      <c r="AB233" s="27">
        <f t="shared" si="208"/>
        <v>0</v>
      </c>
      <c r="AC233" s="27">
        <f t="shared" si="209"/>
        <v>0</v>
      </c>
      <c r="AD233" s="27">
        <f t="shared" si="210"/>
        <v>0</v>
      </c>
      <c r="AE233" s="27">
        <f t="shared" si="211"/>
        <v>0</v>
      </c>
      <c r="AF233" s="27">
        <f t="shared" si="212"/>
        <v>0</v>
      </c>
      <c r="AG233" s="27">
        <f t="shared" si="213"/>
        <v>0</v>
      </c>
      <c r="AH233" s="17"/>
      <c r="AI233" s="26">
        <f t="shared" si="214"/>
        <v>0</v>
      </c>
      <c r="AJ233" s="26">
        <f t="shared" si="215"/>
        <v>0</v>
      </c>
      <c r="AK233" s="26">
        <f t="shared" si="216"/>
        <v>0</v>
      </c>
      <c r="AM233" s="27">
        <v>21</v>
      </c>
      <c r="AN233" s="27">
        <f>G233*0</f>
        <v>0</v>
      </c>
      <c r="AO233" s="27">
        <f>G233*(1-0)</f>
        <v>0</v>
      </c>
      <c r="AP233" s="28" t="s">
        <v>13</v>
      </c>
      <c r="AU233" s="27">
        <f t="shared" si="217"/>
        <v>0</v>
      </c>
      <c r="AV233" s="27">
        <f t="shared" si="218"/>
        <v>0</v>
      </c>
      <c r="AW233" s="27">
        <f t="shared" si="219"/>
        <v>0</v>
      </c>
      <c r="AX233" s="29" t="s">
        <v>787</v>
      </c>
      <c r="AY233" s="29" t="s">
        <v>794</v>
      </c>
      <c r="AZ233" s="17" t="s">
        <v>796</v>
      </c>
      <c r="BB233" s="27">
        <f t="shared" si="220"/>
        <v>0</v>
      </c>
      <c r="BC233" s="27">
        <f t="shared" si="221"/>
        <v>0</v>
      </c>
      <c r="BD233" s="27">
        <v>0</v>
      </c>
      <c r="BE233" s="27">
        <f t="shared" si="222"/>
        <v>0</v>
      </c>
      <c r="BG233" s="26">
        <f t="shared" si="223"/>
        <v>0</v>
      </c>
      <c r="BH233" s="26">
        <f t="shared" si="224"/>
        <v>0</v>
      </c>
      <c r="BI233" s="26">
        <f t="shared" si="225"/>
        <v>0</v>
      </c>
    </row>
    <row r="234" spans="1:61" ht="12.75" hidden="1">
      <c r="A234" s="24" t="s">
        <v>208</v>
      </c>
      <c r="B234" s="25"/>
      <c r="C234" s="25" t="s">
        <v>455</v>
      </c>
      <c r="D234" s="25" t="s">
        <v>703</v>
      </c>
      <c r="E234" s="25" t="s">
        <v>750</v>
      </c>
      <c r="F234" s="47">
        <v>0</v>
      </c>
      <c r="G234" s="26">
        <f>'Smluvní ceník'!G234</f>
        <v>0</v>
      </c>
      <c r="H234" s="26">
        <f t="shared" si="202"/>
        <v>0</v>
      </c>
      <c r="I234" s="26">
        <f t="shared" si="203"/>
        <v>0</v>
      </c>
      <c r="J234" s="26">
        <f t="shared" si="204"/>
        <v>0</v>
      </c>
      <c r="K234" s="26">
        <v>0.00041</v>
      </c>
      <c r="L234" s="26">
        <f t="shared" si="205"/>
        <v>0</v>
      </c>
      <c r="Y234" s="27">
        <f t="shared" si="206"/>
        <v>0</v>
      </c>
      <c r="AA234" s="27">
        <f t="shared" si="207"/>
        <v>0</v>
      </c>
      <c r="AB234" s="27">
        <f t="shared" si="208"/>
        <v>0</v>
      </c>
      <c r="AC234" s="27">
        <f t="shared" si="209"/>
        <v>0</v>
      </c>
      <c r="AD234" s="27">
        <f t="shared" si="210"/>
        <v>0</v>
      </c>
      <c r="AE234" s="27">
        <f t="shared" si="211"/>
        <v>0</v>
      </c>
      <c r="AF234" s="27">
        <f t="shared" si="212"/>
        <v>0</v>
      </c>
      <c r="AG234" s="27">
        <f t="shared" si="213"/>
        <v>0</v>
      </c>
      <c r="AH234" s="17"/>
      <c r="AI234" s="26">
        <f t="shared" si="214"/>
        <v>0</v>
      </c>
      <c r="AJ234" s="26">
        <f t="shared" si="215"/>
        <v>0</v>
      </c>
      <c r="AK234" s="26">
        <f t="shared" si="216"/>
        <v>0</v>
      </c>
      <c r="AM234" s="27">
        <v>21</v>
      </c>
      <c r="AN234" s="27">
        <f>G234*0.340639658848614</f>
        <v>0</v>
      </c>
      <c r="AO234" s="27">
        <f>G234*(1-0.340639658848614)</f>
        <v>0</v>
      </c>
      <c r="AP234" s="28" t="s">
        <v>13</v>
      </c>
      <c r="AU234" s="27">
        <f t="shared" si="217"/>
        <v>0</v>
      </c>
      <c r="AV234" s="27">
        <f t="shared" si="218"/>
        <v>0</v>
      </c>
      <c r="AW234" s="27">
        <f t="shared" si="219"/>
        <v>0</v>
      </c>
      <c r="AX234" s="29" t="s">
        <v>787</v>
      </c>
      <c r="AY234" s="29" t="s">
        <v>794</v>
      </c>
      <c r="AZ234" s="17" t="s">
        <v>796</v>
      </c>
      <c r="BB234" s="27">
        <f t="shared" si="220"/>
        <v>0</v>
      </c>
      <c r="BC234" s="27">
        <f t="shared" si="221"/>
        <v>0</v>
      </c>
      <c r="BD234" s="27">
        <v>0</v>
      </c>
      <c r="BE234" s="27">
        <f t="shared" si="222"/>
        <v>0</v>
      </c>
      <c r="BG234" s="26">
        <f t="shared" si="223"/>
        <v>0</v>
      </c>
      <c r="BH234" s="26">
        <f t="shared" si="224"/>
        <v>0</v>
      </c>
      <c r="BI234" s="26">
        <f t="shared" si="225"/>
        <v>0</v>
      </c>
    </row>
    <row r="235" spans="1:61" ht="12.75" hidden="1">
      <c r="A235" s="24" t="s">
        <v>209</v>
      </c>
      <c r="B235" s="25"/>
      <c r="C235" s="25" t="s">
        <v>456</v>
      </c>
      <c r="D235" s="25" t="s">
        <v>704</v>
      </c>
      <c r="E235" s="25" t="s">
        <v>751</v>
      </c>
      <c r="F235" s="47">
        <v>0</v>
      </c>
      <c r="G235" s="26">
        <f>'Smluvní ceník'!G235</f>
        <v>0</v>
      </c>
      <c r="H235" s="26">
        <f t="shared" si="202"/>
        <v>0</v>
      </c>
      <c r="I235" s="26">
        <f t="shared" si="203"/>
        <v>0</v>
      </c>
      <c r="J235" s="26">
        <f t="shared" si="204"/>
        <v>0</v>
      </c>
      <c r="K235" s="26">
        <v>0</v>
      </c>
      <c r="L235" s="26">
        <f t="shared" si="205"/>
        <v>0</v>
      </c>
      <c r="Y235" s="27">
        <f t="shared" si="206"/>
        <v>0</v>
      </c>
      <c r="AA235" s="27">
        <f t="shared" si="207"/>
        <v>0</v>
      </c>
      <c r="AB235" s="27">
        <f t="shared" si="208"/>
        <v>0</v>
      </c>
      <c r="AC235" s="27">
        <f t="shared" si="209"/>
        <v>0</v>
      </c>
      <c r="AD235" s="27">
        <f t="shared" si="210"/>
        <v>0</v>
      </c>
      <c r="AE235" s="27">
        <f t="shared" si="211"/>
        <v>0</v>
      </c>
      <c r="AF235" s="27">
        <f t="shared" si="212"/>
        <v>0</v>
      </c>
      <c r="AG235" s="27">
        <f t="shared" si="213"/>
        <v>0</v>
      </c>
      <c r="AH235" s="17"/>
      <c r="AI235" s="26">
        <f t="shared" si="214"/>
        <v>0</v>
      </c>
      <c r="AJ235" s="26">
        <f t="shared" si="215"/>
        <v>0</v>
      </c>
      <c r="AK235" s="26">
        <f t="shared" si="216"/>
        <v>0</v>
      </c>
      <c r="AM235" s="27">
        <v>21</v>
      </c>
      <c r="AN235" s="27">
        <f>G235*0.106382978723404</f>
        <v>0</v>
      </c>
      <c r="AO235" s="27">
        <f>G235*(1-0.106382978723404)</f>
        <v>0</v>
      </c>
      <c r="AP235" s="28" t="s">
        <v>13</v>
      </c>
      <c r="AU235" s="27">
        <f t="shared" si="217"/>
        <v>0</v>
      </c>
      <c r="AV235" s="27">
        <f t="shared" si="218"/>
        <v>0</v>
      </c>
      <c r="AW235" s="27">
        <f t="shared" si="219"/>
        <v>0</v>
      </c>
      <c r="AX235" s="29" t="s">
        <v>787</v>
      </c>
      <c r="AY235" s="29" t="s">
        <v>794</v>
      </c>
      <c r="AZ235" s="17" t="s">
        <v>796</v>
      </c>
      <c r="BB235" s="27">
        <f t="shared" si="220"/>
        <v>0</v>
      </c>
      <c r="BC235" s="27">
        <f t="shared" si="221"/>
        <v>0</v>
      </c>
      <c r="BD235" s="27">
        <v>0</v>
      </c>
      <c r="BE235" s="27">
        <f t="shared" si="222"/>
        <v>0</v>
      </c>
      <c r="BG235" s="26">
        <f t="shared" si="223"/>
        <v>0</v>
      </c>
      <c r="BH235" s="26">
        <f t="shared" si="224"/>
        <v>0</v>
      </c>
      <c r="BI235" s="26">
        <f t="shared" si="225"/>
        <v>0</v>
      </c>
    </row>
    <row r="236" spans="1:61" ht="12.75">
      <c r="A236" s="24" t="s">
        <v>210</v>
      </c>
      <c r="B236" s="25"/>
      <c r="C236" s="25" t="s">
        <v>457</v>
      </c>
      <c r="D236" s="25" t="s">
        <v>705</v>
      </c>
      <c r="E236" s="25" t="s">
        <v>751</v>
      </c>
      <c r="F236" s="47">
        <v>10</v>
      </c>
      <c r="G236" s="26">
        <f>'Smluvní ceník'!G236</f>
        <v>0</v>
      </c>
      <c r="H236" s="26">
        <f t="shared" si="202"/>
        <v>0</v>
      </c>
      <c r="I236" s="26">
        <f t="shared" si="203"/>
        <v>0</v>
      </c>
      <c r="J236" s="26">
        <f t="shared" si="204"/>
        <v>0</v>
      </c>
      <c r="K236" s="26">
        <v>0</v>
      </c>
      <c r="L236" s="26">
        <f t="shared" si="205"/>
        <v>0</v>
      </c>
      <c r="Y236" s="27">
        <f t="shared" si="206"/>
        <v>0</v>
      </c>
      <c r="AA236" s="27">
        <f t="shared" si="207"/>
        <v>0</v>
      </c>
      <c r="AB236" s="27">
        <f t="shared" si="208"/>
        <v>0</v>
      </c>
      <c r="AC236" s="27">
        <f t="shared" si="209"/>
        <v>0</v>
      </c>
      <c r="AD236" s="27">
        <f t="shared" si="210"/>
        <v>0</v>
      </c>
      <c r="AE236" s="27">
        <f t="shared" si="211"/>
        <v>0</v>
      </c>
      <c r="AF236" s="27">
        <f t="shared" si="212"/>
        <v>0</v>
      </c>
      <c r="AG236" s="27">
        <f t="shared" si="213"/>
        <v>0</v>
      </c>
      <c r="AH236" s="17"/>
      <c r="AI236" s="26">
        <f t="shared" si="214"/>
        <v>0</v>
      </c>
      <c r="AJ236" s="26">
        <f t="shared" si="215"/>
        <v>0</v>
      </c>
      <c r="AK236" s="26">
        <f t="shared" si="216"/>
        <v>0</v>
      </c>
      <c r="AM236" s="27">
        <v>21</v>
      </c>
      <c r="AN236" s="27">
        <f>G236*0.0816326530612245</f>
        <v>0</v>
      </c>
      <c r="AO236" s="27">
        <f>G236*(1-0.0816326530612245)</f>
        <v>0</v>
      </c>
      <c r="AP236" s="28" t="s">
        <v>13</v>
      </c>
      <c r="AU236" s="27">
        <f t="shared" si="217"/>
        <v>0</v>
      </c>
      <c r="AV236" s="27">
        <f t="shared" si="218"/>
        <v>0</v>
      </c>
      <c r="AW236" s="27">
        <f t="shared" si="219"/>
        <v>0</v>
      </c>
      <c r="AX236" s="29" t="s">
        <v>787</v>
      </c>
      <c r="AY236" s="29" t="s">
        <v>794</v>
      </c>
      <c r="AZ236" s="17" t="s">
        <v>796</v>
      </c>
      <c r="BB236" s="27">
        <f t="shared" si="220"/>
        <v>0</v>
      </c>
      <c r="BC236" s="27">
        <f t="shared" si="221"/>
        <v>0</v>
      </c>
      <c r="BD236" s="27">
        <v>0</v>
      </c>
      <c r="BE236" s="27">
        <f t="shared" si="222"/>
        <v>0</v>
      </c>
      <c r="BG236" s="26">
        <f t="shared" si="223"/>
        <v>0</v>
      </c>
      <c r="BH236" s="26">
        <f t="shared" si="224"/>
        <v>0</v>
      </c>
      <c r="BI236" s="26">
        <f t="shared" si="225"/>
        <v>0</v>
      </c>
    </row>
    <row r="237" spans="1:61" ht="12.75">
      <c r="A237" s="24" t="s">
        <v>211</v>
      </c>
      <c r="B237" s="25"/>
      <c r="C237" s="25" t="s">
        <v>458</v>
      </c>
      <c r="D237" s="25" t="s">
        <v>706</v>
      </c>
      <c r="E237" s="25" t="s">
        <v>751</v>
      </c>
      <c r="F237" s="47">
        <v>20</v>
      </c>
      <c r="G237" s="26">
        <f>'Smluvní ceník'!G237</f>
        <v>0</v>
      </c>
      <c r="H237" s="26">
        <f t="shared" si="202"/>
        <v>0</v>
      </c>
      <c r="I237" s="26">
        <f t="shared" si="203"/>
        <v>0</v>
      </c>
      <c r="J237" s="26">
        <f t="shared" si="204"/>
        <v>0</v>
      </c>
      <c r="K237" s="26">
        <v>0</v>
      </c>
      <c r="L237" s="26">
        <f t="shared" si="205"/>
        <v>0</v>
      </c>
      <c r="Y237" s="27">
        <f t="shared" si="206"/>
        <v>0</v>
      </c>
      <c r="AA237" s="27">
        <f t="shared" si="207"/>
        <v>0</v>
      </c>
      <c r="AB237" s="27">
        <f t="shared" si="208"/>
        <v>0</v>
      </c>
      <c r="AC237" s="27">
        <f t="shared" si="209"/>
        <v>0</v>
      </c>
      <c r="AD237" s="27">
        <f t="shared" si="210"/>
        <v>0</v>
      </c>
      <c r="AE237" s="27">
        <f t="shared" si="211"/>
        <v>0</v>
      </c>
      <c r="AF237" s="27">
        <f t="shared" si="212"/>
        <v>0</v>
      </c>
      <c r="AG237" s="27">
        <f t="shared" si="213"/>
        <v>0</v>
      </c>
      <c r="AH237" s="17"/>
      <c r="AI237" s="26">
        <f t="shared" si="214"/>
        <v>0</v>
      </c>
      <c r="AJ237" s="26">
        <f t="shared" si="215"/>
        <v>0</v>
      </c>
      <c r="AK237" s="26">
        <f t="shared" si="216"/>
        <v>0</v>
      </c>
      <c r="AM237" s="27">
        <v>21</v>
      </c>
      <c r="AN237" s="27">
        <f>G237*0.071301247771836</f>
        <v>0</v>
      </c>
      <c r="AO237" s="27">
        <f>G237*(1-0.071301247771836)</f>
        <v>0</v>
      </c>
      <c r="AP237" s="28" t="s">
        <v>13</v>
      </c>
      <c r="AU237" s="27">
        <f t="shared" si="217"/>
        <v>0</v>
      </c>
      <c r="AV237" s="27">
        <f t="shared" si="218"/>
        <v>0</v>
      </c>
      <c r="AW237" s="27">
        <f t="shared" si="219"/>
        <v>0</v>
      </c>
      <c r="AX237" s="29" t="s">
        <v>787</v>
      </c>
      <c r="AY237" s="29" t="s">
        <v>794</v>
      </c>
      <c r="AZ237" s="17" t="s">
        <v>796</v>
      </c>
      <c r="BB237" s="27">
        <f t="shared" si="220"/>
        <v>0</v>
      </c>
      <c r="BC237" s="27">
        <f t="shared" si="221"/>
        <v>0</v>
      </c>
      <c r="BD237" s="27">
        <v>0</v>
      </c>
      <c r="BE237" s="27">
        <f t="shared" si="222"/>
        <v>0</v>
      </c>
      <c r="BG237" s="26">
        <f t="shared" si="223"/>
        <v>0</v>
      </c>
      <c r="BH237" s="26">
        <f t="shared" si="224"/>
        <v>0</v>
      </c>
      <c r="BI237" s="26">
        <f t="shared" si="225"/>
        <v>0</v>
      </c>
    </row>
    <row r="238" spans="1:61" ht="12.75">
      <c r="A238" s="24" t="s">
        <v>212</v>
      </c>
      <c r="B238" s="25"/>
      <c r="C238" s="25" t="s">
        <v>459</v>
      </c>
      <c r="D238" s="25" t="s">
        <v>707</v>
      </c>
      <c r="E238" s="25" t="s">
        <v>751</v>
      </c>
      <c r="F238" s="47">
        <v>30</v>
      </c>
      <c r="G238" s="26">
        <f>'Smluvní ceník'!G238</f>
        <v>0</v>
      </c>
      <c r="H238" s="26">
        <f t="shared" si="202"/>
        <v>0</v>
      </c>
      <c r="I238" s="26">
        <f t="shared" si="203"/>
        <v>0</v>
      </c>
      <c r="J238" s="26">
        <f t="shared" si="204"/>
        <v>0</v>
      </c>
      <c r="K238" s="26">
        <v>7E-05</v>
      </c>
      <c r="L238" s="26">
        <f t="shared" si="205"/>
        <v>0.0021</v>
      </c>
      <c r="Y238" s="27">
        <f t="shared" si="206"/>
        <v>0</v>
      </c>
      <c r="AA238" s="27">
        <f t="shared" si="207"/>
        <v>0</v>
      </c>
      <c r="AB238" s="27">
        <f t="shared" si="208"/>
        <v>0</v>
      </c>
      <c r="AC238" s="27">
        <f t="shared" si="209"/>
        <v>0</v>
      </c>
      <c r="AD238" s="27">
        <f t="shared" si="210"/>
        <v>0</v>
      </c>
      <c r="AE238" s="27">
        <f t="shared" si="211"/>
        <v>0</v>
      </c>
      <c r="AF238" s="27">
        <f t="shared" si="212"/>
        <v>0</v>
      </c>
      <c r="AG238" s="27">
        <f t="shared" si="213"/>
        <v>0</v>
      </c>
      <c r="AH238" s="17"/>
      <c r="AI238" s="26">
        <f t="shared" si="214"/>
        <v>0</v>
      </c>
      <c r="AJ238" s="26">
        <f t="shared" si="215"/>
        <v>0</v>
      </c>
      <c r="AK238" s="26">
        <f t="shared" si="216"/>
        <v>0</v>
      </c>
      <c r="AM238" s="27">
        <v>21</v>
      </c>
      <c r="AN238" s="27">
        <f>G238*0.19156862745098</f>
        <v>0</v>
      </c>
      <c r="AO238" s="27">
        <f>G238*(1-0.19156862745098)</f>
        <v>0</v>
      </c>
      <c r="AP238" s="28" t="s">
        <v>13</v>
      </c>
      <c r="AU238" s="27">
        <f t="shared" si="217"/>
        <v>0</v>
      </c>
      <c r="AV238" s="27">
        <f t="shared" si="218"/>
        <v>0</v>
      </c>
      <c r="AW238" s="27">
        <f t="shared" si="219"/>
        <v>0</v>
      </c>
      <c r="AX238" s="29" t="s">
        <v>787</v>
      </c>
      <c r="AY238" s="29" t="s">
        <v>794</v>
      </c>
      <c r="AZ238" s="17" t="s">
        <v>796</v>
      </c>
      <c r="BB238" s="27">
        <f t="shared" si="220"/>
        <v>0</v>
      </c>
      <c r="BC238" s="27">
        <f t="shared" si="221"/>
        <v>0</v>
      </c>
      <c r="BD238" s="27">
        <v>0</v>
      </c>
      <c r="BE238" s="27">
        <f t="shared" si="222"/>
        <v>0.0021</v>
      </c>
      <c r="BG238" s="26">
        <f t="shared" si="223"/>
        <v>0</v>
      </c>
      <c r="BH238" s="26">
        <f t="shared" si="224"/>
        <v>0</v>
      </c>
      <c r="BI238" s="26">
        <f t="shared" si="225"/>
        <v>0</v>
      </c>
    </row>
    <row r="239" spans="1:61" ht="12.75">
      <c r="A239" s="24" t="s">
        <v>213</v>
      </c>
      <c r="B239" s="25"/>
      <c r="C239" s="25" t="s">
        <v>460</v>
      </c>
      <c r="D239" s="25" t="s">
        <v>708</v>
      </c>
      <c r="E239" s="25" t="s">
        <v>751</v>
      </c>
      <c r="F239" s="47">
        <v>30</v>
      </c>
      <c r="G239" s="26">
        <f>'Smluvní ceník'!G239</f>
        <v>0</v>
      </c>
      <c r="H239" s="26">
        <f t="shared" si="202"/>
        <v>0</v>
      </c>
      <c r="I239" s="26">
        <f t="shared" si="203"/>
        <v>0</v>
      </c>
      <c r="J239" s="26">
        <f t="shared" si="204"/>
        <v>0</v>
      </c>
      <c r="K239" s="26">
        <v>9E-05</v>
      </c>
      <c r="L239" s="26">
        <f t="shared" si="205"/>
        <v>0.0027</v>
      </c>
      <c r="Y239" s="27">
        <f t="shared" si="206"/>
        <v>0</v>
      </c>
      <c r="AA239" s="27">
        <f t="shared" si="207"/>
        <v>0</v>
      </c>
      <c r="AB239" s="27">
        <f t="shared" si="208"/>
        <v>0</v>
      </c>
      <c r="AC239" s="27">
        <f t="shared" si="209"/>
        <v>0</v>
      </c>
      <c r="AD239" s="27">
        <f t="shared" si="210"/>
        <v>0</v>
      </c>
      <c r="AE239" s="27">
        <f t="shared" si="211"/>
        <v>0</v>
      </c>
      <c r="AF239" s="27">
        <f t="shared" si="212"/>
        <v>0</v>
      </c>
      <c r="AG239" s="27">
        <f t="shared" si="213"/>
        <v>0</v>
      </c>
      <c r="AH239" s="17"/>
      <c r="AI239" s="26">
        <f t="shared" si="214"/>
        <v>0</v>
      </c>
      <c r="AJ239" s="26">
        <f t="shared" si="215"/>
        <v>0</v>
      </c>
      <c r="AK239" s="26">
        <f t="shared" si="216"/>
        <v>0</v>
      </c>
      <c r="AM239" s="27">
        <v>21</v>
      </c>
      <c r="AN239" s="27">
        <f>G239*0.211935483870968</f>
        <v>0</v>
      </c>
      <c r="AO239" s="27">
        <f>G239*(1-0.211935483870968)</f>
        <v>0</v>
      </c>
      <c r="AP239" s="28" t="s">
        <v>13</v>
      </c>
      <c r="AU239" s="27">
        <f t="shared" si="217"/>
        <v>0</v>
      </c>
      <c r="AV239" s="27">
        <f t="shared" si="218"/>
        <v>0</v>
      </c>
      <c r="AW239" s="27">
        <f t="shared" si="219"/>
        <v>0</v>
      </c>
      <c r="AX239" s="29" t="s">
        <v>787</v>
      </c>
      <c r="AY239" s="29" t="s">
        <v>794</v>
      </c>
      <c r="AZ239" s="17" t="s">
        <v>796</v>
      </c>
      <c r="BB239" s="27">
        <f t="shared" si="220"/>
        <v>0</v>
      </c>
      <c r="BC239" s="27">
        <f t="shared" si="221"/>
        <v>0</v>
      </c>
      <c r="BD239" s="27">
        <v>0</v>
      </c>
      <c r="BE239" s="27">
        <f t="shared" si="222"/>
        <v>0.0027</v>
      </c>
      <c r="BG239" s="26">
        <f t="shared" si="223"/>
        <v>0</v>
      </c>
      <c r="BH239" s="26">
        <f t="shared" si="224"/>
        <v>0</v>
      </c>
      <c r="BI239" s="26">
        <f t="shared" si="225"/>
        <v>0</v>
      </c>
    </row>
    <row r="240" spans="1:61" ht="12.75">
      <c r="A240" s="24" t="s">
        <v>214</v>
      </c>
      <c r="B240" s="25"/>
      <c r="C240" s="25" t="s">
        <v>461</v>
      </c>
      <c r="D240" s="25" t="s">
        <v>709</v>
      </c>
      <c r="E240" s="25" t="s">
        <v>751</v>
      </c>
      <c r="F240" s="47">
        <v>30</v>
      </c>
      <c r="G240" s="26">
        <f>'Smluvní ceník'!G240</f>
        <v>0</v>
      </c>
      <c r="H240" s="26">
        <f t="shared" si="202"/>
        <v>0</v>
      </c>
      <c r="I240" s="26">
        <f t="shared" si="203"/>
        <v>0</v>
      </c>
      <c r="J240" s="26">
        <f t="shared" si="204"/>
        <v>0</v>
      </c>
      <c r="K240" s="26">
        <v>0.00014</v>
      </c>
      <c r="L240" s="26">
        <f t="shared" si="205"/>
        <v>0.0042</v>
      </c>
      <c r="Y240" s="27">
        <f t="shared" si="206"/>
        <v>0</v>
      </c>
      <c r="AA240" s="27">
        <f t="shared" si="207"/>
        <v>0</v>
      </c>
      <c r="AB240" s="27">
        <f t="shared" si="208"/>
        <v>0</v>
      </c>
      <c r="AC240" s="27">
        <f t="shared" si="209"/>
        <v>0</v>
      </c>
      <c r="AD240" s="27">
        <f t="shared" si="210"/>
        <v>0</v>
      </c>
      <c r="AE240" s="27">
        <f t="shared" si="211"/>
        <v>0</v>
      </c>
      <c r="AF240" s="27">
        <f t="shared" si="212"/>
        <v>0</v>
      </c>
      <c r="AG240" s="27">
        <f t="shared" si="213"/>
        <v>0</v>
      </c>
      <c r="AH240" s="17"/>
      <c r="AI240" s="26">
        <f t="shared" si="214"/>
        <v>0</v>
      </c>
      <c r="AJ240" s="26">
        <f t="shared" si="215"/>
        <v>0</v>
      </c>
      <c r="AK240" s="26">
        <f t="shared" si="216"/>
        <v>0</v>
      </c>
      <c r="AM240" s="27">
        <v>21</v>
      </c>
      <c r="AN240" s="27">
        <f>G240*0.249873417721519</f>
        <v>0</v>
      </c>
      <c r="AO240" s="27">
        <f>G240*(1-0.249873417721519)</f>
        <v>0</v>
      </c>
      <c r="AP240" s="28" t="s">
        <v>13</v>
      </c>
      <c r="AU240" s="27">
        <f t="shared" si="217"/>
        <v>0</v>
      </c>
      <c r="AV240" s="27">
        <f t="shared" si="218"/>
        <v>0</v>
      </c>
      <c r="AW240" s="27">
        <f t="shared" si="219"/>
        <v>0</v>
      </c>
      <c r="AX240" s="29" t="s">
        <v>787</v>
      </c>
      <c r="AY240" s="29" t="s">
        <v>794</v>
      </c>
      <c r="AZ240" s="17" t="s">
        <v>796</v>
      </c>
      <c r="BB240" s="27">
        <f t="shared" si="220"/>
        <v>0</v>
      </c>
      <c r="BC240" s="27">
        <f t="shared" si="221"/>
        <v>0</v>
      </c>
      <c r="BD240" s="27">
        <v>0</v>
      </c>
      <c r="BE240" s="27">
        <f t="shared" si="222"/>
        <v>0.0042</v>
      </c>
      <c r="BG240" s="26">
        <f t="shared" si="223"/>
        <v>0</v>
      </c>
      <c r="BH240" s="26">
        <f t="shared" si="224"/>
        <v>0</v>
      </c>
      <c r="BI240" s="26">
        <f t="shared" si="225"/>
        <v>0</v>
      </c>
    </row>
    <row r="241" spans="1:46" ht="12.75">
      <c r="A241" s="30"/>
      <c r="B241" s="31"/>
      <c r="C241" s="31" t="s">
        <v>462</v>
      </c>
      <c r="D241" s="31" t="s">
        <v>710</v>
      </c>
      <c r="E241" s="32" t="s">
        <v>6</v>
      </c>
      <c r="F241" s="32" t="s">
        <v>6</v>
      </c>
      <c r="G241" s="32" t="str">
        <f>'Smluvní ceník'!G241</f>
        <v> </v>
      </c>
      <c r="H241" s="23">
        <f>SUM(H242:H263)</f>
        <v>0</v>
      </c>
      <c r="I241" s="23">
        <f>SUM(I242:I263)</f>
        <v>0</v>
      </c>
      <c r="J241" s="23">
        <f>SUM(J242:J263)</f>
        <v>0</v>
      </c>
      <c r="K241" s="17"/>
      <c r="L241" s="23">
        <f>SUM(L242:L263)</f>
        <v>1.1786</v>
      </c>
      <c r="AH241" s="17"/>
      <c r="AR241" s="23">
        <f>SUM(AI242:AI263)</f>
        <v>0</v>
      </c>
      <c r="AS241" s="23">
        <f>SUM(AJ242:AJ263)</f>
        <v>0</v>
      </c>
      <c r="AT241" s="23">
        <f>SUM(AK242:AK263)</f>
        <v>0</v>
      </c>
    </row>
    <row r="242" spans="1:61" ht="12.75">
      <c r="A242" s="24" t="s">
        <v>215</v>
      </c>
      <c r="B242" s="25"/>
      <c r="C242" s="25" t="s">
        <v>866</v>
      </c>
      <c r="D242" s="25" t="s">
        <v>867</v>
      </c>
      <c r="E242" s="25" t="s">
        <v>751</v>
      </c>
      <c r="F242" s="47">
        <v>50</v>
      </c>
      <c r="G242" s="26">
        <f>'Smluvní ceník'!G242</f>
        <v>0</v>
      </c>
      <c r="H242" s="26">
        <f aca="true" t="shared" si="228" ref="H242:H263">F242*AN242</f>
        <v>0</v>
      </c>
      <c r="I242" s="26">
        <f aca="true" t="shared" si="229" ref="I242:I263">F242*AO242</f>
        <v>0</v>
      </c>
      <c r="J242" s="26">
        <f aca="true" t="shared" si="230" ref="J242:J263">F242*G242</f>
        <v>0</v>
      </c>
      <c r="K242" s="26">
        <v>0.00096</v>
      </c>
      <c r="L242" s="26">
        <f aca="true" t="shared" si="231" ref="L242:L263">F242*K242</f>
        <v>0.048</v>
      </c>
      <c r="Y242" s="27">
        <f aca="true" t="shared" si="232" ref="Y242:Y263">IF(AP242="5",BI242,0)</f>
        <v>0</v>
      </c>
      <c r="AA242" s="27">
        <f aca="true" t="shared" si="233" ref="AA242:AA263">IF(AP242="1",BG242,0)</f>
        <v>0</v>
      </c>
      <c r="AB242" s="27">
        <f aca="true" t="shared" si="234" ref="AB242:AB263">IF(AP242="1",BH242,0)</f>
        <v>0</v>
      </c>
      <c r="AC242" s="27">
        <f aca="true" t="shared" si="235" ref="AC242:AC263">IF(AP242="7",BG242,0)</f>
        <v>0</v>
      </c>
      <c r="AD242" s="27">
        <f aca="true" t="shared" si="236" ref="AD242:AD263">IF(AP242="7",BH242,0)</f>
        <v>0</v>
      </c>
      <c r="AE242" s="27">
        <f aca="true" t="shared" si="237" ref="AE242:AE263">IF(AP242="2",BG242,0)</f>
        <v>0</v>
      </c>
      <c r="AF242" s="27">
        <f aca="true" t="shared" si="238" ref="AF242:AF263">IF(AP242="2",BH242,0)</f>
        <v>0</v>
      </c>
      <c r="AG242" s="27">
        <f aca="true" t="shared" si="239" ref="AG242:AG263">IF(AP242="0",BI242,0)</f>
        <v>0</v>
      </c>
      <c r="AH242" s="17"/>
      <c r="AI242" s="26">
        <f aca="true" t="shared" si="240" ref="AI242:AI263">IF(AM242=0,J242,0)</f>
        <v>0</v>
      </c>
      <c r="AJ242" s="26">
        <f aca="true" t="shared" si="241" ref="AJ242:AJ263">IF(AM242=15,J242,0)</f>
        <v>0</v>
      </c>
      <c r="AK242" s="26">
        <f aca="true" t="shared" si="242" ref="AK242:AK263">IF(AM242=21,J242,0)</f>
        <v>0</v>
      </c>
      <c r="AM242" s="27">
        <v>21</v>
      </c>
      <c r="AN242" s="27">
        <f>G242*0.508503115002526</f>
        <v>0</v>
      </c>
      <c r="AO242" s="27">
        <f>G242*(1-0.508503115002526)</f>
        <v>0</v>
      </c>
      <c r="AP242" s="28" t="s">
        <v>13</v>
      </c>
      <c r="AU242" s="27">
        <f aca="true" t="shared" si="243" ref="AU242:AU263">AV242+AW242</f>
        <v>0</v>
      </c>
      <c r="AV242" s="27">
        <f aca="true" t="shared" si="244" ref="AV242:AV263">F242*AN242</f>
        <v>0</v>
      </c>
      <c r="AW242" s="27">
        <f aca="true" t="shared" si="245" ref="AW242:AW263">F242*AO242</f>
        <v>0</v>
      </c>
      <c r="AX242" s="29" t="s">
        <v>788</v>
      </c>
      <c r="AY242" s="29" t="s">
        <v>794</v>
      </c>
      <c r="AZ242" s="17" t="s">
        <v>796</v>
      </c>
      <c r="BB242" s="27">
        <f aca="true" t="shared" si="246" ref="BB242:BB263">AV242+AW242</f>
        <v>0</v>
      </c>
      <c r="BC242" s="27">
        <f aca="true" t="shared" si="247" ref="BC242:BC263">G242/(100-BD242)*100</f>
        <v>0</v>
      </c>
      <c r="BD242" s="27">
        <v>0</v>
      </c>
      <c r="BE242" s="27">
        <f aca="true" t="shared" si="248" ref="BE242:BE263">L242</f>
        <v>0.048</v>
      </c>
      <c r="BG242" s="26">
        <f aca="true" t="shared" si="249" ref="BG242:BG263">F242*AN242</f>
        <v>0</v>
      </c>
      <c r="BH242" s="26">
        <f aca="true" t="shared" si="250" ref="BH242:BH263">F242*AO242</f>
        <v>0</v>
      </c>
      <c r="BI242" s="26">
        <f aca="true" t="shared" si="251" ref="BI242:BI263">F242*G242</f>
        <v>0</v>
      </c>
    </row>
    <row r="243" spans="1:61" ht="12.75">
      <c r="A243" s="24" t="s">
        <v>216</v>
      </c>
      <c r="B243" s="25"/>
      <c r="C243" s="25" t="s">
        <v>464</v>
      </c>
      <c r="D243" s="25" t="s">
        <v>712</v>
      </c>
      <c r="E243" s="25" t="s">
        <v>750</v>
      </c>
      <c r="F243" s="47">
        <v>20</v>
      </c>
      <c r="G243" s="26">
        <f>'Smluvní ceník'!G243</f>
        <v>0</v>
      </c>
      <c r="H243" s="26">
        <f t="shared" si="228"/>
        <v>0</v>
      </c>
      <c r="I243" s="26">
        <f t="shared" si="229"/>
        <v>0</v>
      </c>
      <c r="J243" s="26">
        <f t="shared" si="230"/>
        <v>0</v>
      </c>
      <c r="K243" s="26">
        <v>0.00703</v>
      </c>
      <c r="L243" s="26">
        <f t="shared" si="231"/>
        <v>0.1406</v>
      </c>
      <c r="Y243" s="27">
        <f t="shared" si="232"/>
        <v>0</v>
      </c>
      <c r="AA243" s="27">
        <f t="shared" si="233"/>
        <v>0</v>
      </c>
      <c r="AB243" s="27">
        <f t="shared" si="234"/>
        <v>0</v>
      </c>
      <c r="AC243" s="27">
        <f t="shared" si="235"/>
        <v>0</v>
      </c>
      <c r="AD243" s="27">
        <f t="shared" si="236"/>
        <v>0</v>
      </c>
      <c r="AE243" s="27">
        <f t="shared" si="237"/>
        <v>0</v>
      </c>
      <c r="AF243" s="27">
        <f t="shared" si="238"/>
        <v>0</v>
      </c>
      <c r="AG243" s="27">
        <f t="shared" si="239"/>
        <v>0</v>
      </c>
      <c r="AH243" s="17"/>
      <c r="AI243" s="26">
        <f t="shared" si="240"/>
        <v>0</v>
      </c>
      <c r="AJ243" s="26">
        <f t="shared" si="241"/>
        <v>0</v>
      </c>
      <c r="AK243" s="26">
        <f t="shared" si="242"/>
        <v>0</v>
      </c>
      <c r="AM243" s="27">
        <v>21</v>
      </c>
      <c r="AN243" s="27">
        <f>G243*0.747867924528302</f>
        <v>0</v>
      </c>
      <c r="AO243" s="27">
        <f>G243*(1-0.747867924528302)</f>
        <v>0</v>
      </c>
      <c r="AP243" s="28" t="s">
        <v>13</v>
      </c>
      <c r="AU243" s="27">
        <f t="shared" si="243"/>
        <v>0</v>
      </c>
      <c r="AV243" s="27">
        <f t="shared" si="244"/>
        <v>0</v>
      </c>
      <c r="AW243" s="27">
        <f t="shared" si="245"/>
        <v>0</v>
      </c>
      <c r="AX243" s="29" t="s">
        <v>788</v>
      </c>
      <c r="AY243" s="29" t="s">
        <v>794</v>
      </c>
      <c r="AZ243" s="17" t="s">
        <v>796</v>
      </c>
      <c r="BB243" s="27">
        <f t="shared" si="246"/>
        <v>0</v>
      </c>
      <c r="BC243" s="27">
        <f t="shared" si="247"/>
        <v>0</v>
      </c>
      <c r="BD243" s="27">
        <v>0</v>
      </c>
      <c r="BE243" s="27">
        <f t="shared" si="248"/>
        <v>0.1406</v>
      </c>
      <c r="BG243" s="26">
        <f t="shared" si="249"/>
        <v>0</v>
      </c>
      <c r="BH243" s="26">
        <f t="shared" si="250"/>
        <v>0</v>
      </c>
      <c r="BI243" s="26">
        <f t="shared" si="251"/>
        <v>0</v>
      </c>
    </row>
    <row r="244" spans="1:61" ht="12.75" hidden="1">
      <c r="A244" s="24" t="s">
        <v>217</v>
      </c>
      <c r="B244" s="25"/>
      <c r="C244" s="25" t="s">
        <v>465</v>
      </c>
      <c r="D244" s="25" t="s">
        <v>713</v>
      </c>
      <c r="E244" s="25" t="s">
        <v>750</v>
      </c>
      <c r="F244" s="47">
        <v>0</v>
      </c>
      <c r="G244" s="26">
        <f>'Smluvní ceník'!G244</f>
        <v>0</v>
      </c>
      <c r="H244" s="26">
        <f t="shared" si="228"/>
        <v>0</v>
      </c>
      <c r="I244" s="26">
        <f t="shared" si="229"/>
        <v>0</v>
      </c>
      <c r="J244" s="26">
        <f t="shared" si="230"/>
        <v>0</v>
      </c>
      <c r="K244" s="26">
        <v>0.00873</v>
      </c>
      <c r="L244" s="26">
        <f t="shared" si="231"/>
        <v>0</v>
      </c>
      <c r="Y244" s="27">
        <f t="shared" si="232"/>
        <v>0</v>
      </c>
      <c r="AA244" s="27">
        <f t="shared" si="233"/>
        <v>0</v>
      </c>
      <c r="AB244" s="27">
        <f t="shared" si="234"/>
        <v>0</v>
      </c>
      <c r="AC244" s="27">
        <f t="shared" si="235"/>
        <v>0</v>
      </c>
      <c r="AD244" s="27">
        <f t="shared" si="236"/>
        <v>0</v>
      </c>
      <c r="AE244" s="27">
        <f t="shared" si="237"/>
        <v>0</v>
      </c>
      <c r="AF244" s="27">
        <f t="shared" si="238"/>
        <v>0</v>
      </c>
      <c r="AG244" s="27">
        <f t="shared" si="239"/>
        <v>0</v>
      </c>
      <c r="AH244" s="17"/>
      <c r="AI244" s="26">
        <f t="shared" si="240"/>
        <v>0</v>
      </c>
      <c r="AJ244" s="26">
        <f t="shared" si="241"/>
        <v>0</v>
      </c>
      <c r="AK244" s="26">
        <f t="shared" si="242"/>
        <v>0</v>
      </c>
      <c r="AM244" s="27">
        <v>21</v>
      </c>
      <c r="AN244" s="27">
        <f>G244*0.778890687350759</f>
        <v>0</v>
      </c>
      <c r="AO244" s="27">
        <f>G244*(1-0.778890687350759)</f>
        <v>0</v>
      </c>
      <c r="AP244" s="28" t="s">
        <v>13</v>
      </c>
      <c r="AU244" s="27">
        <f t="shared" si="243"/>
        <v>0</v>
      </c>
      <c r="AV244" s="27">
        <f t="shared" si="244"/>
        <v>0</v>
      </c>
      <c r="AW244" s="27">
        <f t="shared" si="245"/>
        <v>0</v>
      </c>
      <c r="AX244" s="29" t="s">
        <v>788</v>
      </c>
      <c r="AY244" s="29" t="s">
        <v>794</v>
      </c>
      <c r="AZ244" s="17" t="s">
        <v>796</v>
      </c>
      <c r="BB244" s="27">
        <f t="shared" si="246"/>
        <v>0</v>
      </c>
      <c r="BC244" s="27">
        <f t="shared" si="247"/>
        <v>0</v>
      </c>
      <c r="BD244" s="27">
        <v>0</v>
      </c>
      <c r="BE244" s="27">
        <f t="shared" si="248"/>
        <v>0</v>
      </c>
      <c r="BG244" s="26">
        <f t="shared" si="249"/>
        <v>0</v>
      </c>
      <c r="BH244" s="26">
        <f t="shared" si="250"/>
        <v>0</v>
      </c>
      <c r="BI244" s="26">
        <f t="shared" si="251"/>
        <v>0</v>
      </c>
    </row>
    <row r="245" spans="1:61" ht="12.75">
      <c r="A245" s="24" t="s">
        <v>218</v>
      </c>
      <c r="B245" s="25"/>
      <c r="C245" s="25" t="s">
        <v>466</v>
      </c>
      <c r="D245" s="25" t="s">
        <v>714</v>
      </c>
      <c r="E245" s="25" t="s">
        <v>750</v>
      </c>
      <c r="F245" s="47">
        <v>15</v>
      </c>
      <c r="G245" s="26">
        <f>'Smluvní ceník'!G245</f>
        <v>0</v>
      </c>
      <c r="H245" s="26">
        <f t="shared" si="228"/>
        <v>0</v>
      </c>
      <c r="I245" s="26">
        <f t="shared" si="229"/>
        <v>0</v>
      </c>
      <c r="J245" s="26">
        <f t="shared" si="230"/>
        <v>0</v>
      </c>
      <c r="K245" s="26">
        <v>0.01</v>
      </c>
      <c r="L245" s="26">
        <f t="shared" si="231"/>
        <v>0.15</v>
      </c>
      <c r="Y245" s="27">
        <f t="shared" si="232"/>
        <v>0</v>
      </c>
      <c r="AA245" s="27">
        <f t="shared" si="233"/>
        <v>0</v>
      </c>
      <c r="AB245" s="27">
        <f t="shared" si="234"/>
        <v>0</v>
      </c>
      <c r="AC245" s="27">
        <f t="shared" si="235"/>
        <v>0</v>
      </c>
      <c r="AD245" s="27">
        <f t="shared" si="236"/>
        <v>0</v>
      </c>
      <c r="AE245" s="27">
        <f t="shared" si="237"/>
        <v>0</v>
      </c>
      <c r="AF245" s="27">
        <f t="shared" si="238"/>
        <v>0</v>
      </c>
      <c r="AG245" s="27">
        <f t="shared" si="239"/>
        <v>0</v>
      </c>
      <c r="AH245" s="17"/>
      <c r="AI245" s="26">
        <f t="shared" si="240"/>
        <v>0</v>
      </c>
      <c r="AJ245" s="26">
        <f t="shared" si="241"/>
        <v>0</v>
      </c>
      <c r="AK245" s="26">
        <f t="shared" si="242"/>
        <v>0</v>
      </c>
      <c r="AM245" s="27">
        <v>21</v>
      </c>
      <c r="AN245" s="27">
        <f>G245*0</f>
        <v>0</v>
      </c>
      <c r="AO245" s="27">
        <f>G245*(1-0)</f>
        <v>0</v>
      </c>
      <c r="AP245" s="28" t="s">
        <v>13</v>
      </c>
      <c r="AU245" s="27">
        <f t="shared" si="243"/>
        <v>0</v>
      </c>
      <c r="AV245" s="27">
        <f t="shared" si="244"/>
        <v>0</v>
      </c>
      <c r="AW245" s="27">
        <f t="shared" si="245"/>
        <v>0</v>
      </c>
      <c r="AX245" s="29" t="s">
        <v>788</v>
      </c>
      <c r="AY245" s="29" t="s">
        <v>794</v>
      </c>
      <c r="AZ245" s="17" t="s">
        <v>796</v>
      </c>
      <c r="BB245" s="27">
        <f t="shared" si="246"/>
        <v>0</v>
      </c>
      <c r="BC245" s="27">
        <f t="shared" si="247"/>
        <v>0</v>
      </c>
      <c r="BD245" s="27">
        <v>0</v>
      </c>
      <c r="BE245" s="27">
        <f t="shared" si="248"/>
        <v>0.15</v>
      </c>
      <c r="BG245" s="26">
        <f t="shared" si="249"/>
        <v>0</v>
      </c>
      <c r="BH245" s="26">
        <f t="shared" si="250"/>
        <v>0</v>
      </c>
      <c r="BI245" s="26">
        <f t="shared" si="251"/>
        <v>0</v>
      </c>
    </row>
    <row r="246" spans="1:61" ht="12.75">
      <c r="A246" s="24" t="s">
        <v>219</v>
      </c>
      <c r="B246" s="25"/>
      <c r="C246" s="25" t="s">
        <v>467</v>
      </c>
      <c r="D246" s="25" t="s">
        <v>715</v>
      </c>
      <c r="E246" s="25" t="s">
        <v>750</v>
      </c>
      <c r="F246" s="47">
        <v>10</v>
      </c>
      <c r="G246" s="26">
        <f>'Smluvní ceník'!G246</f>
        <v>0</v>
      </c>
      <c r="H246" s="26">
        <f t="shared" si="228"/>
        <v>0</v>
      </c>
      <c r="I246" s="26">
        <f t="shared" si="229"/>
        <v>0</v>
      </c>
      <c r="J246" s="26">
        <f t="shared" si="230"/>
        <v>0</v>
      </c>
      <c r="K246" s="26">
        <v>0.014</v>
      </c>
      <c r="L246" s="26">
        <f t="shared" si="231"/>
        <v>0.14</v>
      </c>
      <c r="Y246" s="27">
        <f t="shared" si="232"/>
        <v>0</v>
      </c>
      <c r="AA246" s="27">
        <f t="shared" si="233"/>
        <v>0</v>
      </c>
      <c r="AB246" s="27">
        <f t="shared" si="234"/>
        <v>0</v>
      </c>
      <c r="AC246" s="27">
        <f t="shared" si="235"/>
        <v>0</v>
      </c>
      <c r="AD246" s="27">
        <f t="shared" si="236"/>
        <v>0</v>
      </c>
      <c r="AE246" s="27">
        <f t="shared" si="237"/>
        <v>0</v>
      </c>
      <c r="AF246" s="27">
        <f t="shared" si="238"/>
        <v>0</v>
      </c>
      <c r="AG246" s="27">
        <f t="shared" si="239"/>
        <v>0</v>
      </c>
      <c r="AH246" s="17"/>
      <c r="AI246" s="26">
        <f t="shared" si="240"/>
        <v>0</v>
      </c>
      <c r="AJ246" s="26">
        <f t="shared" si="241"/>
        <v>0</v>
      </c>
      <c r="AK246" s="26">
        <f t="shared" si="242"/>
        <v>0</v>
      </c>
      <c r="AM246" s="27">
        <v>21</v>
      </c>
      <c r="AN246" s="27">
        <f>G246*0</f>
        <v>0</v>
      </c>
      <c r="AO246" s="27">
        <f>G246*(1-0)</f>
        <v>0</v>
      </c>
      <c r="AP246" s="28" t="s">
        <v>13</v>
      </c>
      <c r="AU246" s="27">
        <f t="shared" si="243"/>
        <v>0</v>
      </c>
      <c r="AV246" s="27">
        <f t="shared" si="244"/>
        <v>0</v>
      </c>
      <c r="AW246" s="27">
        <f t="shared" si="245"/>
        <v>0</v>
      </c>
      <c r="AX246" s="29" t="s">
        <v>788</v>
      </c>
      <c r="AY246" s="29" t="s">
        <v>794</v>
      </c>
      <c r="AZ246" s="17" t="s">
        <v>796</v>
      </c>
      <c r="BB246" s="27">
        <f t="shared" si="246"/>
        <v>0</v>
      </c>
      <c r="BC246" s="27">
        <f t="shared" si="247"/>
        <v>0</v>
      </c>
      <c r="BD246" s="27">
        <v>0</v>
      </c>
      <c r="BE246" s="27">
        <f t="shared" si="248"/>
        <v>0.14</v>
      </c>
      <c r="BG246" s="26">
        <f t="shared" si="249"/>
        <v>0</v>
      </c>
      <c r="BH246" s="26">
        <f t="shared" si="250"/>
        <v>0</v>
      </c>
      <c r="BI246" s="26">
        <f t="shared" si="251"/>
        <v>0</v>
      </c>
    </row>
    <row r="247" spans="1:61" ht="12.75" hidden="1">
      <c r="A247" s="24" t="s">
        <v>220</v>
      </c>
      <c r="B247" s="25"/>
      <c r="C247" s="25" t="s">
        <v>468</v>
      </c>
      <c r="D247" s="25" t="s">
        <v>716</v>
      </c>
      <c r="E247" s="25" t="s">
        <v>750</v>
      </c>
      <c r="F247" s="47">
        <v>0</v>
      </c>
      <c r="G247" s="26">
        <f>'Smluvní ceník'!G247</f>
        <v>0</v>
      </c>
      <c r="H247" s="26">
        <f t="shared" si="228"/>
        <v>0</v>
      </c>
      <c r="I247" s="26">
        <f t="shared" si="229"/>
        <v>0</v>
      </c>
      <c r="J247" s="26">
        <f t="shared" si="230"/>
        <v>0</v>
      </c>
      <c r="K247" s="26">
        <v>0.01</v>
      </c>
      <c r="L247" s="26">
        <f t="shared" si="231"/>
        <v>0</v>
      </c>
      <c r="Y247" s="27">
        <f t="shared" si="232"/>
        <v>0</v>
      </c>
      <c r="AA247" s="27">
        <f t="shared" si="233"/>
        <v>0</v>
      </c>
      <c r="AB247" s="27">
        <f t="shared" si="234"/>
        <v>0</v>
      </c>
      <c r="AC247" s="27">
        <f t="shared" si="235"/>
        <v>0</v>
      </c>
      <c r="AD247" s="27">
        <f t="shared" si="236"/>
        <v>0</v>
      </c>
      <c r="AE247" s="27">
        <f t="shared" si="237"/>
        <v>0</v>
      </c>
      <c r="AF247" s="27">
        <f t="shared" si="238"/>
        <v>0</v>
      </c>
      <c r="AG247" s="27">
        <f t="shared" si="239"/>
        <v>0</v>
      </c>
      <c r="AH247" s="17"/>
      <c r="AI247" s="26">
        <f t="shared" si="240"/>
        <v>0</v>
      </c>
      <c r="AJ247" s="26">
        <f t="shared" si="241"/>
        <v>0</v>
      </c>
      <c r="AK247" s="26">
        <f t="shared" si="242"/>
        <v>0</v>
      </c>
      <c r="AM247" s="27">
        <v>21</v>
      </c>
      <c r="AN247" s="27">
        <f>G247*0</f>
        <v>0</v>
      </c>
      <c r="AO247" s="27">
        <f>G247*(1-0)</f>
        <v>0</v>
      </c>
      <c r="AP247" s="28" t="s">
        <v>13</v>
      </c>
      <c r="AU247" s="27">
        <f t="shared" si="243"/>
        <v>0</v>
      </c>
      <c r="AV247" s="27">
        <f t="shared" si="244"/>
        <v>0</v>
      </c>
      <c r="AW247" s="27">
        <f t="shared" si="245"/>
        <v>0</v>
      </c>
      <c r="AX247" s="29" t="s">
        <v>788</v>
      </c>
      <c r="AY247" s="29" t="s">
        <v>794</v>
      </c>
      <c r="AZ247" s="17" t="s">
        <v>796</v>
      </c>
      <c r="BB247" s="27">
        <f t="shared" si="246"/>
        <v>0</v>
      </c>
      <c r="BC247" s="27">
        <f t="shared" si="247"/>
        <v>0</v>
      </c>
      <c r="BD247" s="27">
        <v>0</v>
      </c>
      <c r="BE247" s="27">
        <f t="shared" si="248"/>
        <v>0</v>
      </c>
      <c r="BG247" s="26">
        <f t="shared" si="249"/>
        <v>0</v>
      </c>
      <c r="BH247" s="26">
        <f t="shared" si="250"/>
        <v>0</v>
      </c>
      <c r="BI247" s="26">
        <f t="shared" si="251"/>
        <v>0</v>
      </c>
    </row>
    <row r="248" spans="1:61" ht="12.75" hidden="1">
      <c r="A248" s="34" t="s">
        <v>221</v>
      </c>
      <c r="B248" s="35"/>
      <c r="C248" s="35" t="s">
        <v>469</v>
      </c>
      <c r="D248" s="35" t="s">
        <v>717</v>
      </c>
      <c r="E248" s="35" t="s">
        <v>750</v>
      </c>
      <c r="F248" s="48">
        <v>0</v>
      </c>
      <c r="G248" s="26">
        <f>'Smluvní ceník'!G248</f>
        <v>0</v>
      </c>
      <c r="H248" s="36">
        <f t="shared" si="228"/>
        <v>0</v>
      </c>
      <c r="I248" s="36">
        <f t="shared" si="229"/>
        <v>0</v>
      </c>
      <c r="J248" s="36">
        <f t="shared" si="230"/>
        <v>0</v>
      </c>
      <c r="K248" s="36">
        <v>0.0001</v>
      </c>
      <c r="L248" s="36">
        <f t="shared" si="231"/>
        <v>0</v>
      </c>
      <c r="Y248" s="27">
        <f t="shared" si="232"/>
        <v>0</v>
      </c>
      <c r="AA248" s="27">
        <f t="shared" si="233"/>
        <v>0</v>
      </c>
      <c r="AB248" s="27">
        <f t="shared" si="234"/>
        <v>0</v>
      </c>
      <c r="AC248" s="27">
        <f t="shared" si="235"/>
        <v>0</v>
      </c>
      <c r="AD248" s="27">
        <f t="shared" si="236"/>
        <v>0</v>
      </c>
      <c r="AE248" s="27">
        <f t="shared" si="237"/>
        <v>0</v>
      </c>
      <c r="AF248" s="27">
        <f t="shared" si="238"/>
        <v>0</v>
      </c>
      <c r="AG248" s="27">
        <f t="shared" si="239"/>
        <v>0</v>
      </c>
      <c r="AH248" s="17"/>
      <c r="AI248" s="36">
        <f t="shared" si="240"/>
        <v>0</v>
      </c>
      <c r="AJ248" s="36">
        <f t="shared" si="241"/>
        <v>0</v>
      </c>
      <c r="AK248" s="36">
        <f t="shared" si="242"/>
        <v>0</v>
      </c>
      <c r="AM248" s="27">
        <v>21</v>
      </c>
      <c r="AN248" s="27">
        <f>G248*1</f>
        <v>0</v>
      </c>
      <c r="AO248" s="27">
        <f>G248*(1-1)</f>
        <v>0</v>
      </c>
      <c r="AP248" s="37" t="s">
        <v>13</v>
      </c>
      <c r="AU248" s="27">
        <f t="shared" si="243"/>
        <v>0</v>
      </c>
      <c r="AV248" s="27">
        <f t="shared" si="244"/>
        <v>0</v>
      </c>
      <c r="AW248" s="27">
        <f t="shared" si="245"/>
        <v>0</v>
      </c>
      <c r="AX248" s="29" t="s">
        <v>788</v>
      </c>
      <c r="AY248" s="29" t="s">
        <v>794</v>
      </c>
      <c r="AZ248" s="17" t="s">
        <v>796</v>
      </c>
      <c r="BB248" s="27">
        <f t="shared" si="246"/>
        <v>0</v>
      </c>
      <c r="BC248" s="27">
        <f t="shared" si="247"/>
        <v>0</v>
      </c>
      <c r="BD248" s="27">
        <v>0</v>
      </c>
      <c r="BE248" s="27">
        <f t="shared" si="248"/>
        <v>0</v>
      </c>
      <c r="BG248" s="36">
        <f t="shared" si="249"/>
        <v>0</v>
      </c>
      <c r="BH248" s="36">
        <f t="shared" si="250"/>
        <v>0</v>
      </c>
      <c r="BI248" s="36">
        <f t="shared" si="251"/>
        <v>0</v>
      </c>
    </row>
    <row r="249" spans="1:61" ht="12.75" hidden="1">
      <c r="A249" s="24" t="s">
        <v>222</v>
      </c>
      <c r="B249" s="25"/>
      <c r="C249" s="25" t="s">
        <v>470</v>
      </c>
      <c r="D249" s="25" t="s">
        <v>718</v>
      </c>
      <c r="E249" s="25" t="s">
        <v>750</v>
      </c>
      <c r="F249" s="47">
        <v>0</v>
      </c>
      <c r="G249" s="26">
        <f>'Smluvní ceník'!G249</f>
        <v>0</v>
      </c>
      <c r="H249" s="26">
        <f t="shared" si="228"/>
        <v>0</v>
      </c>
      <c r="I249" s="26">
        <f t="shared" si="229"/>
        <v>0</v>
      </c>
      <c r="J249" s="26">
        <f t="shared" si="230"/>
        <v>0</v>
      </c>
      <c r="K249" s="26">
        <v>0.01285</v>
      </c>
      <c r="L249" s="26">
        <f t="shared" si="231"/>
        <v>0</v>
      </c>
      <c r="Y249" s="27">
        <f t="shared" si="232"/>
        <v>0</v>
      </c>
      <c r="AA249" s="27">
        <f t="shared" si="233"/>
        <v>0</v>
      </c>
      <c r="AB249" s="27">
        <f t="shared" si="234"/>
        <v>0</v>
      </c>
      <c r="AC249" s="27">
        <f t="shared" si="235"/>
        <v>0</v>
      </c>
      <c r="AD249" s="27">
        <f t="shared" si="236"/>
        <v>0</v>
      </c>
      <c r="AE249" s="27">
        <f t="shared" si="237"/>
        <v>0</v>
      </c>
      <c r="AF249" s="27">
        <f t="shared" si="238"/>
        <v>0</v>
      </c>
      <c r="AG249" s="27">
        <f t="shared" si="239"/>
        <v>0</v>
      </c>
      <c r="AH249" s="17"/>
      <c r="AI249" s="26">
        <f t="shared" si="240"/>
        <v>0</v>
      </c>
      <c r="AJ249" s="26">
        <f t="shared" si="241"/>
        <v>0</v>
      </c>
      <c r="AK249" s="26">
        <f t="shared" si="242"/>
        <v>0</v>
      </c>
      <c r="AM249" s="27">
        <v>21</v>
      </c>
      <c r="AN249" s="27">
        <f>G249*0.597633742221312</f>
        <v>0</v>
      </c>
      <c r="AO249" s="27">
        <f>G249*(1-0.597633742221312)</f>
        <v>0</v>
      </c>
      <c r="AP249" s="28" t="s">
        <v>13</v>
      </c>
      <c r="AU249" s="27">
        <f t="shared" si="243"/>
        <v>0</v>
      </c>
      <c r="AV249" s="27">
        <f t="shared" si="244"/>
        <v>0</v>
      </c>
      <c r="AW249" s="27">
        <f t="shared" si="245"/>
        <v>0</v>
      </c>
      <c r="AX249" s="29" t="s">
        <v>788</v>
      </c>
      <c r="AY249" s="29" t="s">
        <v>794</v>
      </c>
      <c r="AZ249" s="17" t="s">
        <v>796</v>
      </c>
      <c r="BB249" s="27">
        <f t="shared" si="246"/>
        <v>0</v>
      </c>
      <c r="BC249" s="27">
        <f t="shared" si="247"/>
        <v>0</v>
      </c>
      <c r="BD249" s="27">
        <v>0</v>
      </c>
      <c r="BE249" s="27">
        <f t="shared" si="248"/>
        <v>0</v>
      </c>
      <c r="BG249" s="26">
        <f t="shared" si="249"/>
        <v>0</v>
      </c>
      <c r="BH249" s="26">
        <f t="shared" si="250"/>
        <v>0</v>
      </c>
      <c r="BI249" s="26">
        <f t="shared" si="251"/>
        <v>0</v>
      </c>
    </row>
    <row r="250" spans="1:61" ht="12.75" hidden="1">
      <c r="A250" s="24" t="s">
        <v>223</v>
      </c>
      <c r="B250" s="25"/>
      <c r="C250" s="25" t="s">
        <v>471</v>
      </c>
      <c r="D250" s="25" t="s">
        <v>719</v>
      </c>
      <c r="E250" s="25" t="s">
        <v>750</v>
      </c>
      <c r="F250" s="47">
        <v>0</v>
      </c>
      <c r="G250" s="26">
        <f>'Smluvní ceník'!G250</f>
        <v>0</v>
      </c>
      <c r="H250" s="26">
        <f t="shared" si="228"/>
        <v>0</v>
      </c>
      <c r="I250" s="26">
        <f t="shared" si="229"/>
        <v>0</v>
      </c>
      <c r="J250" s="26">
        <f t="shared" si="230"/>
        <v>0</v>
      </c>
      <c r="K250" s="26">
        <v>0.01885</v>
      </c>
      <c r="L250" s="26">
        <f t="shared" si="231"/>
        <v>0</v>
      </c>
      <c r="Y250" s="27">
        <f t="shared" si="232"/>
        <v>0</v>
      </c>
      <c r="AA250" s="27">
        <f t="shared" si="233"/>
        <v>0</v>
      </c>
      <c r="AB250" s="27">
        <f t="shared" si="234"/>
        <v>0</v>
      </c>
      <c r="AC250" s="27">
        <f t="shared" si="235"/>
        <v>0</v>
      </c>
      <c r="AD250" s="27">
        <f t="shared" si="236"/>
        <v>0</v>
      </c>
      <c r="AE250" s="27">
        <f t="shared" si="237"/>
        <v>0</v>
      </c>
      <c r="AF250" s="27">
        <f t="shared" si="238"/>
        <v>0</v>
      </c>
      <c r="AG250" s="27">
        <f t="shared" si="239"/>
        <v>0</v>
      </c>
      <c r="AH250" s="17"/>
      <c r="AI250" s="26">
        <f t="shared" si="240"/>
        <v>0</v>
      </c>
      <c r="AJ250" s="26">
        <f t="shared" si="241"/>
        <v>0</v>
      </c>
      <c r="AK250" s="26">
        <f t="shared" si="242"/>
        <v>0</v>
      </c>
      <c r="AM250" s="27">
        <v>21</v>
      </c>
      <c r="AN250" s="27">
        <f>G250*0.643415384615385</f>
        <v>0</v>
      </c>
      <c r="AO250" s="27">
        <f>G250*(1-0.643415384615385)</f>
        <v>0</v>
      </c>
      <c r="AP250" s="28" t="s">
        <v>13</v>
      </c>
      <c r="AU250" s="27">
        <f t="shared" si="243"/>
        <v>0</v>
      </c>
      <c r="AV250" s="27">
        <f t="shared" si="244"/>
        <v>0</v>
      </c>
      <c r="AW250" s="27">
        <f t="shared" si="245"/>
        <v>0</v>
      </c>
      <c r="AX250" s="29" t="s">
        <v>788</v>
      </c>
      <c r="AY250" s="29" t="s">
        <v>794</v>
      </c>
      <c r="AZ250" s="17" t="s">
        <v>796</v>
      </c>
      <c r="BB250" s="27">
        <f t="shared" si="246"/>
        <v>0</v>
      </c>
      <c r="BC250" s="27">
        <f t="shared" si="247"/>
        <v>0</v>
      </c>
      <c r="BD250" s="27">
        <v>0</v>
      </c>
      <c r="BE250" s="27">
        <f t="shared" si="248"/>
        <v>0</v>
      </c>
      <c r="BG250" s="26">
        <f t="shared" si="249"/>
        <v>0</v>
      </c>
      <c r="BH250" s="26">
        <f t="shared" si="250"/>
        <v>0</v>
      </c>
      <c r="BI250" s="26">
        <f t="shared" si="251"/>
        <v>0</v>
      </c>
    </row>
    <row r="251" spans="1:61" ht="12.75" hidden="1">
      <c r="A251" s="24" t="s">
        <v>224</v>
      </c>
      <c r="B251" s="25"/>
      <c r="C251" s="25" t="s">
        <v>472</v>
      </c>
      <c r="D251" s="25" t="s">
        <v>720</v>
      </c>
      <c r="E251" s="25" t="s">
        <v>750</v>
      </c>
      <c r="F251" s="47">
        <v>0</v>
      </c>
      <c r="G251" s="26">
        <f>'Smluvní ceník'!G251</f>
        <v>0</v>
      </c>
      <c r="H251" s="26">
        <f t="shared" si="228"/>
        <v>0</v>
      </c>
      <c r="I251" s="26">
        <f t="shared" si="229"/>
        <v>0</v>
      </c>
      <c r="J251" s="26">
        <f t="shared" si="230"/>
        <v>0</v>
      </c>
      <c r="K251" s="26">
        <v>0.02145</v>
      </c>
      <c r="L251" s="26">
        <f t="shared" si="231"/>
        <v>0</v>
      </c>
      <c r="Y251" s="27">
        <f t="shared" si="232"/>
        <v>0</v>
      </c>
      <c r="AA251" s="27">
        <f t="shared" si="233"/>
        <v>0</v>
      </c>
      <c r="AB251" s="27">
        <f t="shared" si="234"/>
        <v>0</v>
      </c>
      <c r="AC251" s="27">
        <f t="shared" si="235"/>
        <v>0</v>
      </c>
      <c r="AD251" s="27">
        <f t="shared" si="236"/>
        <v>0</v>
      </c>
      <c r="AE251" s="27">
        <f t="shared" si="237"/>
        <v>0</v>
      </c>
      <c r="AF251" s="27">
        <f t="shared" si="238"/>
        <v>0</v>
      </c>
      <c r="AG251" s="27">
        <f t="shared" si="239"/>
        <v>0</v>
      </c>
      <c r="AH251" s="17"/>
      <c r="AI251" s="26">
        <f t="shared" si="240"/>
        <v>0</v>
      </c>
      <c r="AJ251" s="26">
        <f t="shared" si="241"/>
        <v>0</v>
      </c>
      <c r="AK251" s="26">
        <f t="shared" si="242"/>
        <v>0</v>
      </c>
      <c r="AM251" s="27">
        <v>21</v>
      </c>
      <c r="AN251" s="27">
        <f>G251*0.762089219416315</f>
        <v>0</v>
      </c>
      <c r="AO251" s="27">
        <f>G251*(1-0.762089219416315)</f>
        <v>0</v>
      </c>
      <c r="AP251" s="28" t="s">
        <v>13</v>
      </c>
      <c r="AU251" s="27">
        <f t="shared" si="243"/>
        <v>0</v>
      </c>
      <c r="AV251" s="27">
        <f t="shared" si="244"/>
        <v>0</v>
      </c>
      <c r="AW251" s="27">
        <f t="shared" si="245"/>
        <v>0</v>
      </c>
      <c r="AX251" s="29" t="s">
        <v>788</v>
      </c>
      <c r="AY251" s="29" t="s">
        <v>794</v>
      </c>
      <c r="AZ251" s="17" t="s">
        <v>796</v>
      </c>
      <c r="BB251" s="27">
        <f t="shared" si="246"/>
        <v>0</v>
      </c>
      <c r="BC251" s="27">
        <f t="shared" si="247"/>
        <v>0</v>
      </c>
      <c r="BD251" s="27">
        <v>0</v>
      </c>
      <c r="BE251" s="27">
        <f t="shared" si="248"/>
        <v>0</v>
      </c>
      <c r="BG251" s="26">
        <f t="shared" si="249"/>
        <v>0</v>
      </c>
      <c r="BH251" s="26">
        <f t="shared" si="250"/>
        <v>0</v>
      </c>
      <c r="BI251" s="26">
        <f t="shared" si="251"/>
        <v>0</v>
      </c>
    </row>
    <row r="252" spans="1:61" ht="12.75" hidden="1">
      <c r="A252" s="24" t="s">
        <v>225</v>
      </c>
      <c r="B252" s="25"/>
      <c r="C252" s="25" t="s">
        <v>473</v>
      </c>
      <c r="D252" s="25" t="s">
        <v>721</v>
      </c>
      <c r="E252" s="25" t="s">
        <v>750</v>
      </c>
      <c r="F252" s="47">
        <v>0</v>
      </c>
      <c r="G252" s="26">
        <f>'Smluvní ceník'!G252</f>
        <v>0</v>
      </c>
      <c r="H252" s="26">
        <f t="shared" si="228"/>
        <v>0</v>
      </c>
      <c r="I252" s="26">
        <f t="shared" si="229"/>
        <v>0</v>
      </c>
      <c r="J252" s="26">
        <f t="shared" si="230"/>
        <v>0</v>
      </c>
      <c r="K252" s="26">
        <v>0.00903</v>
      </c>
      <c r="L252" s="26">
        <f t="shared" si="231"/>
        <v>0</v>
      </c>
      <c r="Y252" s="27">
        <f t="shared" si="232"/>
        <v>0</v>
      </c>
      <c r="AA252" s="27">
        <f t="shared" si="233"/>
        <v>0</v>
      </c>
      <c r="AB252" s="27">
        <f t="shared" si="234"/>
        <v>0</v>
      </c>
      <c r="AC252" s="27">
        <f t="shared" si="235"/>
        <v>0</v>
      </c>
      <c r="AD252" s="27">
        <f t="shared" si="236"/>
        <v>0</v>
      </c>
      <c r="AE252" s="27">
        <f t="shared" si="237"/>
        <v>0</v>
      </c>
      <c r="AF252" s="27">
        <f t="shared" si="238"/>
        <v>0</v>
      </c>
      <c r="AG252" s="27">
        <f t="shared" si="239"/>
        <v>0</v>
      </c>
      <c r="AH252" s="17"/>
      <c r="AI252" s="26">
        <f t="shared" si="240"/>
        <v>0</v>
      </c>
      <c r="AJ252" s="26">
        <f t="shared" si="241"/>
        <v>0</v>
      </c>
      <c r="AK252" s="26">
        <f t="shared" si="242"/>
        <v>0</v>
      </c>
      <c r="AM252" s="27">
        <v>21</v>
      </c>
      <c r="AN252" s="27">
        <f>G252*0.793142414860681</f>
        <v>0</v>
      </c>
      <c r="AO252" s="27">
        <f>G252*(1-0.793142414860681)</f>
        <v>0</v>
      </c>
      <c r="AP252" s="28" t="s">
        <v>13</v>
      </c>
      <c r="AU252" s="27">
        <f t="shared" si="243"/>
        <v>0</v>
      </c>
      <c r="AV252" s="27">
        <f t="shared" si="244"/>
        <v>0</v>
      </c>
      <c r="AW252" s="27">
        <f t="shared" si="245"/>
        <v>0</v>
      </c>
      <c r="AX252" s="29" t="s">
        <v>788</v>
      </c>
      <c r="AY252" s="29" t="s">
        <v>794</v>
      </c>
      <c r="AZ252" s="17" t="s">
        <v>796</v>
      </c>
      <c r="BB252" s="27">
        <f t="shared" si="246"/>
        <v>0</v>
      </c>
      <c r="BC252" s="27">
        <f t="shared" si="247"/>
        <v>0</v>
      </c>
      <c r="BD252" s="27">
        <v>0</v>
      </c>
      <c r="BE252" s="27">
        <f t="shared" si="248"/>
        <v>0</v>
      </c>
      <c r="BG252" s="26">
        <f t="shared" si="249"/>
        <v>0</v>
      </c>
      <c r="BH252" s="26">
        <f t="shared" si="250"/>
        <v>0</v>
      </c>
      <c r="BI252" s="26">
        <f t="shared" si="251"/>
        <v>0</v>
      </c>
    </row>
    <row r="253" spans="1:61" ht="12.75" hidden="1">
      <c r="A253" s="24" t="s">
        <v>226</v>
      </c>
      <c r="B253" s="25"/>
      <c r="C253" s="25" t="s">
        <v>474</v>
      </c>
      <c r="D253" s="25" t="s">
        <v>722</v>
      </c>
      <c r="E253" s="25" t="s">
        <v>750</v>
      </c>
      <c r="F253" s="47">
        <v>0</v>
      </c>
      <c r="G253" s="26">
        <f>'Smluvní ceník'!G253</f>
        <v>0</v>
      </c>
      <c r="H253" s="26">
        <f t="shared" si="228"/>
        <v>0</v>
      </c>
      <c r="I253" s="26">
        <f t="shared" si="229"/>
        <v>0</v>
      </c>
      <c r="J253" s="26">
        <f t="shared" si="230"/>
        <v>0</v>
      </c>
      <c r="K253" s="26">
        <v>0.01064</v>
      </c>
      <c r="L253" s="26">
        <f t="shared" si="231"/>
        <v>0</v>
      </c>
      <c r="Y253" s="27">
        <f t="shared" si="232"/>
        <v>0</v>
      </c>
      <c r="AA253" s="27">
        <f t="shared" si="233"/>
        <v>0</v>
      </c>
      <c r="AB253" s="27">
        <f t="shared" si="234"/>
        <v>0</v>
      </c>
      <c r="AC253" s="27">
        <f t="shared" si="235"/>
        <v>0</v>
      </c>
      <c r="AD253" s="27">
        <f t="shared" si="236"/>
        <v>0</v>
      </c>
      <c r="AE253" s="27">
        <f t="shared" si="237"/>
        <v>0</v>
      </c>
      <c r="AF253" s="27">
        <f t="shared" si="238"/>
        <v>0</v>
      </c>
      <c r="AG253" s="27">
        <f t="shared" si="239"/>
        <v>0</v>
      </c>
      <c r="AH253" s="17"/>
      <c r="AI253" s="26">
        <f t="shared" si="240"/>
        <v>0</v>
      </c>
      <c r="AJ253" s="26">
        <f t="shared" si="241"/>
        <v>0</v>
      </c>
      <c r="AK253" s="26">
        <f t="shared" si="242"/>
        <v>0</v>
      </c>
      <c r="AM253" s="27">
        <v>21</v>
      </c>
      <c r="AN253" s="27">
        <f>G253*0.807921727395412</f>
        <v>0</v>
      </c>
      <c r="AO253" s="27">
        <f>G253*(1-0.807921727395412)</f>
        <v>0</v>
      </c>
      <c r="AP253" s="28" t="s">
        <v>13</v>
      </c>
      <c r="AU253" s="27">
        <f t="shared" si="243"/>
        <v>0</v>
      </c>
      <c r="AV253" s="27">
        <f t="shared" si="244"/>
        <v>0</v>
      </c>
      <c r="AW253" s="27">
        <f t="shared" si="245"/>
        <v>0</v>
      </c>
      <c r="AX253" s="29" t="s">
        <v>788</v>
      </c>
      <c r="AY253" s="29" t="s">
        <v>794</v>
      </c>
      <c r="AZ253" s="17" t="s">
        <v>796</v>
      </c>
      <c r="BB253" s="27">
        <f t="shared" si="246"/>
        <v>0</v>
      </c>
      <c r="BC253" s="27">
        <f t="shared" si="247"/>
        <v>0</v>
      </c>
      <c r="BD253" s="27">
        <v>0</v>
      </c>
      <c r="BE253" s="27">
        <f t="shared" si="248"/>
        <v>0</v>
      </c>
      <c r="BG253" s="26">
        <f t="shared" si="249"/>
        <v>0</v>
      </c>
      <c r="BH253" s="26">
        <f t="shared" si="250"/>
        <v>0</v>
      </c>
      <c r="BI253" s="26">
        <f t="shared" si="251"/>
        <v>0</v>
      </c>
    </row>
    <row r="254" spans="1:61" ht="12.75" hidden="1">
      <c r="A254" s="24" t="s">
        <v>227</v>
      </c>
      <c r="B254" s="25"/>
      <c r="C254" s="25" t="s">
        <v>463</v>
      </c>
      <c r="D254" s="25" t="s">
        <v>711</v>
      </c>
      <c r="E254" s="25" t="s">
        <v>751</v>
      </c>
      <c r="F254" s="47">
        <v>0</v>
      </c>
      <c r="G254" s="26">
        <f>'Smluvní ceník'!G254</f>
        <v>0</v>
      </c>
      <c r="H254" s="26">
        <f t="shared" si="228"/>
        <v>0</v>
      </c>
      <c r="I254" s="26">
        <f t="shared" si="229"/>
        <v>0</v>
      </c>
      <c r="J254" s="26">
        <f t="shared" si="230"/>
        <v>0</v>
      </c>
      <c r="K254" s="26">
        <v>0.00096</v>
      </c>
      <c r="L254" s="26">
        <f t="shared" si="231"/>
        <v>0</v>
      </c>
      <c r="Y254" s="27">
        <f t="shared" si="232"/>
        <v>0</v>
      </c>
      <c r="AA254" s="27">
        <f t="shared" si="233"/>
        <v>0</v>
      </c>
      <c r="AB254" s="27">
        <f t="shared" si="234"/>
        <v>0</v>
      </c>
      <c r="AC254" s="27">
        <f t="shared" si="235"/>
        <v>0</v>
      </c>
      <c r="AD254" s="27">
        <f t="shared" si="236"/>
        <v>0</v>
      </c>
      <c r="AE254" s="27">
        <f t="shared" si="237"/>
        <v>0</v>
      </c>
      <c r="AF254" s="27">
        <f t="shared" si="238"/>
        <v>0</v>
      </c>
      <c r="AG254" s="27">
        <f t="shared" si="239"/>
        <v>0</v>
      </c>
      <c r="AH254" s="17"/>
      <c r="AI254" s="26">
        <f t="shared" si="240"/>
        <v>0</v>
      </c>
      <c r="AJ254" s="26">
        <f t="shared" si="241"/>
        <v>0</v>
      </c>
      <c r="AK254" s="26">
        <f t="shared" si="242"/>
        <v>0</v>
      </c>
      <c r="AM254" s="27">
        <v>21</v>
      </c>
      <c r="AN254" s="27">
        <f>G254*0.508503115002526</f>
        <v>0</v>
      </c>
      <c r="AO254" s="27">
        <f>G254*(1-0.508503115002526)</f>
        <v>0</v>
      </c>
      <c r="AP254" s="28" t="s">
        <v>13</v>
      </c>
      <c r="AU254" s="27">
        <f t="shared" si="243"/>
        <v>0</v>
      </c>
      <c r="AV254" s="27">
        <f t="shared" si="244"/>
        <v>0</v>
      </c>
      <c r="AW254" s="27">
        <f t="shared" si="245"/>
        <v>0</v>
      </c>
      <c r="AX254" s="29" t="s">
        <v>788</v>
      </c>
      <c r="AY254" s="29" t="s">
        <v>794</v>
      </c>
      <c r="AZ254" s="17" t="s">
        <v>796</v>
      </c>
      <c r="BB254" s="27">
        <f t="shared" si="246"/>
        <v>0</v>
      </c>
      <c r="BC254" s="27">
        <f t="shared" si="247"/>
        <v>0</v>
      </c>
      <c r="BD254" s="27">
        <v>0</v>
      </c>
      <c r="BE254" s="27">
        <f t="shared" si="248"/>
        <v>0</v>
      </c>
      <c r="BG254" s="26">
        <f t="shared" si="249"/>
        <v>0</v>
      </c>
      <c r="BH254" s="26">
        <f t="shared" si="250"/>
        <v>0</v>
      </c>
      <c r="BI254" s="26">
        <f t="shared" si="251"/>
        <v>0</v>
      </c>
    </row>
    <row r="255" spans="1:61" ht="12.75" hidden="1">
      <c r="A255" s="24" t="s">
        <v>228</v>
      </c>
      <c r="B255" s="25"/>
      <c r="C255" s="25" t="s">
        <v>466</v>
      </c>
      <c r="D255" s="25" t="s">
        <v>714</v>
      </c>
      <c r="E255" s="25" t="s">
        <v>750</v>
      </c>
      <c r="F255" s="47">
        <v>0</v>
      </c>
      <c r="G255" s="26">
        <f>'Smluvní ceník'!G255</f>
        <v>0</v>
      </c>
      <c r="H255" s="26">
        <f t="shared" si="228"/>
        <v>0</v>
      </c>
      <c r="I255" s="26">
        <f t="shared" si="229"/>
        <v>0</v>
      </c>
      <c r="J255" s="26">
        <f t="shared" si="230"/>
        <v>0</v>
      </c>
      <c r="K255" s="26">
        <v>0.01</v>
      </c>
      <c r="L255" s="26">
        <f t="shared" si="231"/>
        <v>0</v>
      </c>
      <c r="Y255" s="27">
        <f t="shared" si="232"/>
        <v>0</v>
      </c>
      <c r="AA255" s="27">
        <f t="shared" si="233"/>
        <v>0</v>
      </c>
      <c r="AB255" s="27">
        <f t="shared" si="234"/>
        <v>0</v>
      </c>
      <c r="AC255" s="27">
        <f t="shared" si="235"/>
        <v>0</v>
      </c>
      <c r="AD255" s="27">
        <f t="shared" si="236"/>
        <v>0</v>
      </c>
      <c r="AE255" s="27">
        <f t="shared" si="237"/>
        <v>0</v>
      </c>
      <c r="AF255" s="27">
        <f t="shared" si="238"/>
        <v>0</v>
      </c>
      <c r="AG255" s="27">
        <f t="shared" si="239"/>
        <v>0</v>
      </c>
      <c r="AH255" s="17"/>
      <c r="AI255" s="26">
        <f t="shared" si="240"/>
        <v>0</v>
      </c>
      <c r="AJ255" s="26">
        <f t="shared" si="241"/>
        <v>0</v>
      </c>
      <c r="AK255" s="26">
        <f t="shared" si="242"/>
        <v>0</v>
      </c>
      <c r="AM255" s="27">
        <v>21</v>
      </c>
      <c r="AN255" s="27">
        <f aca="true" t="shared" si="252" ref="AN255:AN263">G255*0</f>
        <v>0</v>
      </c>
      <c r="AO255" s="27">
        <f aca="true" t="shared" si="253" ref="AO255:AO263">G255*(1-0)</f>
        <v>0</v>
      </c>
      <c r="AP255" s="28" t="s">
        <v>13</v>
      </c>
      <c r="AU255" s="27">
        <f t="shared" si="243"/>
        <v>0</v>
      </c>
      <c r="AV255" s="27">
        <f t="shared" si="244"/>
        <v>0</v>
      </c>
      <c r="AW255" s="27">
        <f t="shared" si="245"/>
        <v>0</v>
      </c>
      <c r="AX255" s="29" t="s">
        <v>788</v>
      </c>
      <c r="AY255" s="29" t="s">
        <v>794</v>
      </c>
      <c r="AZ255" s="17" t="s">
        <v>796</v>
      </c>
      <c r="BB255" s="27">
        <f t="shared" si="246"/>
        <v>0</v>
      </c>
      <c r="BC255" s="27">
        <f t="shared" si="247"/>
        <v>0</v>
      </c>
      <c r="BD255" s="27">
        <v>0</v>
      </c>
      <c r="BE255" s="27">
        <f t="shared" si="248"/>
        <v>0</v>
      </c>
      <c r="BG255" s="26">
        <f t="shared" si="249"/>
        <v>0</v>
      </c>
      <c r="BH255" s="26">
        <f t="shared" si="250"/>
        <v>0</v>
      </c>
      <c r="BI255" s="26">
        <f t="shared" si="251"/>
        <v>0</v>
      </c>
    </row>
    <row r="256" spans="1:61" ht="12.75">
      <c r="A256" s="24" t="s">
        <v>229</v>
      </c>
      <c r="B256" s="25"/>
      <c r="C256" s="25" t="s">
        <v>865</v>
      </c>
      <c r="D256" s="25" t="s">
        <v>868</v>
      </c>
      <c r="E256" s="25" t="s">
        <v>751</v>
      </c>
      <c r="F256" s="47">
        <v>50</v>
      </c>
      <c r="G256" s="26">
        <f>'Smluvní ceník'!G256</f>
        <v>0</v>
      </c>
      <c r="H256" s="26">
        <f t="shared" si="228"/>
        <v>0</v>
      </c>
      <c r="I256" s="26">
        <f t="shared" si="229"/>
        <v>0</v>
      </c>
      <c r="J256" s="26">
        <f t="shared" si="230"/>
        <v>0</v>
      </c>
      <c r="K256" s="26">
        <v>0.014</v>
      </c>
      <c r="L256" s="26">
        <f t="shared" si="231"/>
        <v>0.7000000000000001</v>
      </c>
      <c r="Y256" s="27">
        <f t="shared" si="232"/>
        <v>0</v>
      </c>
      <c r="AA256" s="27">
        <f t="shared" si="233"/>
        <v>0</v>
      </c>
      <c r="AB256" s="27">
        <f t="shared" si="234"/>
        <v>0</v>
      </c>
      <c r="AC256" s="27">
        <f t="shared" si="235"/>
        <v>0</v>
      </c>
      <c r="AD256" s="27">
        <f t="shared" si="236"/>
        <v>0</v>
      </c>
      <c r="AE256" s="27">
        <f t="shared" si="237"/>
        <v>0</v>
      </c>
      <c r="AF256" s="27">
        <f t="shared" si="238"/>
        <v>0</v>
      </c>
      <c r="AG256" s="27">
        <f t="shared" si="239"/>
        <v>0</v>
      </c>
      <c r="AH256" s="17"/>
      <c r="AI256" s="26">
        <f t="shared" si="240"/>
        <v>0</v>
      </c>
      <c r="AJ256" s="26">
        <f t="shared" si="241"/>
        <v>0</v>
      </c>
      <c r="AK256" s="26">
        <f t="shared" si="242"/>
        <v>0</v>
      </c>
      <c r="AM256" s="27">
        <v>21</v>
      </c>
      <c r="AN256" s="27">
        <f t="shared" si="252"/>
        <v>0</v>
      </c>
      <c r="AO256" s="27">
        <f t="shared" si="253"/>
        <v>0</v>
      </c>
      <c r="AP256" s="28" t="s">
        <v>13</v>
      </c>
      <c r="AU256" s="27">
        <f t="shared" si="243"/>
        <v>0</v>
      </c>
      <c r="AV256" s="27">
        <f t="shared" si="244"/>
        <v>0</v>
      </c>
      <c r="AW256" s="27">
        <f t="shared" si="245"/>
        <v>0</v>
      </c>
      <c r="AX256" s="29" t="s">
        <v>788</v>
      </c>
      <c r="AY256" s="29" t="s">
        <v>794</v>
      </c>
      <c r="AZ256" s="17" t="s">
        <v>796</v>
      </c>
      <c r="BB256" s="27">
        <f t="shared" si="246"/>
        <v>0</v>
      </c>
      <c r="BC256" s="27">
        <f t="shared" si="247"/>
        <v>0</v>
      </c>
      <c r="BD256" s="27">
        <v>0</v>
      </c>
      <c r="BE256" s="27">
        <f t="shared" si="248"/>
        <v>0.7000000000000001</v>
      </c>
      <c r="BG256" s="26">
        <f t="shared" si="249"/>
        <v>0</v>
      </c>
      <c r="BH256" s="26">
        <f t="shared" si="250"/>
        <v>0</v>
      </c>
      <c r="BI256" s="26">
        <f t="shared" si="251"/>
        <v>0</v>
      </c>
    </row>
    <row r="257" spans="1:61" ht="12.75">
      <c r="A257" s="24" t="s">
        <v>230</v>
      </c>
      <c r="B257" s="25"/>
      <c r="C257" s="25" t="s">
        <v>475</v>
      </c>
      <c r="D257" s="25" t="s">
        <v>723</v>
      </c>
      <c r="E257" s="25" t="s">
        <v>752</v>
      </c>
      <c r="F257" s="26">
        <f>F258</f>
        <v>0</v>
      </c>
      <c r="G257" s="26">
        <f>'Smluvní ceník'!G257</f>
        <v>0</v>
      </c>
      <c r="H257" s="26">
        <f t="shared" si="228"/>
        <v>0</v>
      </c>
      <c r="I257" s="26">
        <f t="shared" si="229"/>
        <v>0</v>
      </c>
      <c r="J257" s="26">
        <f t="shared" si="230"/>
        <v>0</v>
      </c>
      <c r="K257" s="26">
        <v>0</v>
      </c>
      <c r="L257" s="26">
        <f t="shared" si="231"/>
        <v>0</v>
      </c>
      <c r="Y257" s="27">
        <f t="shared" si="232"/>
        <v>0</v>
      </c>
      <c r="AA257" s="27">
        <f t="shared" si="233"/>
        <v>0</v>
      </c>
      <c r="AB257" s="27">
        <f t="shared" si="234"/>
        <v>0</v>
      </c>
      <c r="AC257" s="27">
        <f t="shared" si="235"/>
        <v>0</v>
      </c>
      <c r="AD257" s="27">
        <f t="shared" si="236"/>
        <v>0</v>
      </c>
      <c r="AE257" s="27">
        <f t="shared" si="237"/>
        <v>0</v>
      </c>
      <c r="AF257" s="27">
        <f t="shared" si="238"/>
        <v>0</v>
      </c>
      <c r="AG257" s="27">
        <f t="shared" si="239"/>
        <v>0</v>
      </c>
      <c r="AH257" s="17"/>
      <c r="AI257" s="26">
        <f t="shared" si="240"/>
        <v>0</v>
      </c>
      <c r="AJ257" s="26">
        <f t="shared" si="241"/>
        <v>0</v>
      </c>
      <c r="AK257" s="26">
        <f t="shared" si="242"/>
        <v>0</v>
      </c>
      <c r="AM257" s="27">
        <v>21</v>
      </c>
      <c r="AN257" s="27">
        <f t="shared" si="252"/>
        <v>0</v>
      </c>
      <c r="AO257" s="27">
        <f t="shared" si="253"/>
        <v>0</v>
      </c>
      <c r="AP257" s="28" t="s">
        <v>11</v>
      </c>
      <c r="AU257" s="27">
        <f t="shared" si="243"/>
        <v>0</v>
      </c>
      <c r="AV257" s="27">
        <f t="shared" si="244"/>
        <v>0</v>
      </c>
      <c r="AW257" s="27">
        <f t="shared" si="245"/>
        <v>0</v>
      </c>
      <c r="AX257" s="29" t="s">
        <v>788</v>
      </c>
      <c r="AY257" s="29" t="s">
        <v>794</v>
      </c>
      <c r="AZ257" s="17" t="s">
        <v>796</v>
      </c>
      <c r="BB257" s="27">
        <f t="shared" si="246"/>
        <v>0</v>
      </c>
      <c r="BC257" s="27">
        <f t="shared" si="247"/>
        <v>0</v>
      </c>
      <c r="BD257" s="27">
        <v>0</v>
      </c>
      <c r="BE257" s="27">
        <f t="shared" si="248"/>
        <v>0</v>
      </c>
      <c r="BG257" s="26">
        <f t="shared" si="249"/>
        <v>0</v>
      </c>
      <c r="BH257" s="26">
        <f t="shared" si="250"/>
        <v>0</v>
      </c>
      <c r="BI257" s="26">
        <f t="shared" si="251"/>
        <v>0</v>
      </c>
    </row>
    <row r="258" spans="1:61" ht="12.75">
      <c r="A258" s="24" t="s">
        <v>231</v>
      </c>
      <c r="B258" s="25"/>
      <c r="C258" s="25" t="s">
        <v>476</v>
      </c>
      <c r="D258" s="25" t="s">
        <v>724</v>
      </c>
      <c r="E258" s="25" t="s">
        <v>752</v>
      </c>
      <c r="F258" s="26">
        <f>F259</f>
        <v>0</v>
      </c>
      <c r="G258" s="26">
        <f>'Smluvní ceník'!G258</f>
        <v>0</v>
      </c>
      <c r="H258" s="26">
        <f t="shared" si="228"/>
        <v>0</v>
      </c>
      <c r="I258" s="26">
        <f t="shared" si="229"/>
        <v>0</v>
      </c>
      <c r="J258" s="26">
        <f t="shared" si="230"/>
        <v>0</v>
      </c>
      <c r="K258" s="26">
        <v>0</v>
      </c>
      <c r="L258" s="26">
        <f t="shared" si="231"/>
        <v>0</v>
      </c>
      <c r="Y258" s="27">
        <f t="shared" si="232"/>
        <v>0</v>
      </c>
      <c r="AA258" s="27">
        <f t="shared" si="233"/>
        <v>0</v>
      </c>
      <c r="AB258" s="27">
        <f t="shared" si="234"/>
        <v>0</v>
      </c>
      <c r="AC258" s="27">
        <f t="shared" si="235"/>
        <v>0</v>
      </c>
      <c r="AD258" s="27">
        <f t="shared" si="236"/>
        <v>0</v>
      </c>
      <c r="AE258" s="27">
        <f t="shared" si="237"/>
        <v>0</v>
      </c>
      <c r="AF258" s="27">
        <f t="shared" si="238"/>
        <v>0</v>
      </c>
      <c r="AG258" s="27">
        <f t="shared" si="239"/>
        <v>0</v>
      </c>
      <c r="AH258" s="17"/>
      <c r="AI258" s="26">
        <f t="shared" si="240"/>
        <v>0</v>
      </c>
      <c r="AJ258" s="26">
        <f t="shared" si="241"/>
        <v>0</v>
      </c>
      <c r="AK258" s="26">
        <f t="shared" si="242"/>
        <v>0</v>
      </c>
      <c r="AM258" s="27">
        <v>21</v>
      </c>
      <c r="AN258" s="27">
        <f t="shared" si="252"/>
        <v>0</v>
      </c>
      <c r="AO258" s="27">
        <f t="shared" si="253"/>
        <v>0</v>
      </c>
      <c r="AP258" s="28" t="s">
        <v>11</v>
      </c>
      <c r="AU258" s="27">
        <f t="shared" si="243"/>
        <v>0</v>
      </c>
      <c r="AV258" s="27">
        <f t="shared" si="244"/>
        <v>0</v>
      </c>
      <c r="AW258" s="27">
        <f t="shared" si="245"/>
        <v>0</v>
      </c>
      <c r="AX258" s="29" t="s">
        <v>788</v>
      </c>
      <c r="AY258" s="29" t="s">
        <v>794</v>
      </c>
      <c r="AZ258" s="17" t="s">
        <v>796</v>
      </c>
      <c r="BB258" s="27">
        <f t="shared" si="246"/>
        <v>0</v>
      </c>
      <c r="BC258" s="27">
        <f t="shared" si="247"/>
        <v>0</v>
      </c>
      <c r="BD258" s="27">
        <v>0</v>
      </c>
      <c r="BE258" s="27">
        <f t="shared" si="248"/>
        <v>0</v>
      </c>
      <c r="BG258" s="26">
        <f t="shared" si="249"/>
        <v>0</v>
      </c>
      <c r="BH258" s="26">
        <f t="shared" si="250"/>
        <v>0</v>
      </c>
      <c r="BI258" s="26">
        <f t="shared" si="251"/>
        <v>0</v>
      </c>
    </row>
    <row r="259" spans="1:61" ht="12.75">
      <c r="A259" s="24" t="s">
        <v>232</v>
      </c>
      <c r="B259" s="25"/>
      <c r="C259" s="25" t="s">
        <v>477</v>
      </c>
      <c r="D259" s="25" t="s">
        <v>725</v>
      </c>
      <c r="E259" s="25" t="s">
        <v>752</v>
      </c>
      <c r="F259" s="26">
        <f>SUM(J242:J256)/100</f>
        <v>0</v>
      </c>
      <c r="G259" s="26">
        <f>'Smluvní ceník'!G259</f>
        <v>0</v>
      </c>
      <c r="H259" s="26">
        <f t="shared" si="228"/>
        <v>0</v>
      </c>
      <c r="I259" s="26">
        <f t="shared" si="229"/>
        <v>0</v>
      </c>
      <c r="J259" s="26">
        <f t="shared" si="230"/>
        <v>0</v>
      </c>
      <c r="K259" s="26">
        <v>0</v>
      </c>
      <c r="L259" s="26">
        <f t="shared" si="231"/>
        <v>0</v>
      </c>
      <c r="Y259" s="27">
        <f t="shared" si="232"/>
        <v>0</v>
      </c>
      <c r="AA259" s="27">
        <f t="shared" si="233"/>
        <v>0</v>
      </c>
      <c r="AB259" s="27">
        <f t="shared" si="234"/>
        <v>0</v>
      </c>
      <c r="AC259" s="27">
        <f t="shared" si="235"/>
        <v>0</v>
      </c>
      <c r="AD259" s="27">
        <f t="shared" si="236"/>
        <v>0</v>
      </c>
      <c r="AE259" s="27">
        <f t="shared" si="237"/>
        <v>0</v>
      </c>
      <c r="AF259" s="27">
        <f t="shared" si="238"/>
        <v>0</v>
      </c>
      <c r="AG259" s="27">
        <f t="shared" si="239"/>
        <v>0</v>
      </c>
      <c r="AH259" s="17"/>
      <c r="AI259" s="26">
        <f t="shared" si="240"/>
        <v>0</v>
      </c>
      <c r="AJ259" s="26">
        <f t="shared" si="241"/>
        <v>0</v>
      </c>
      <c r="AK259" s="26">
        <f t="shared" si="242"/>
        <v>0</v>
      </c>
      <c r="AM259" s="27">
        <v>21</v>
      </c>
      <c r="AN259" s="27">
        <f t="shared" si="252"/>
        <v>0</v>
      </c>
      <c r="AO259" s="27">
        <f t="shared" si="253"/>
        <v>0</v>
      </c>
      <c r="AP259" s="28" t="s">
        <v>11</v>
      </c>
      <c r="AU259" s="27">
        <f t="shared" si="243"/>
        <v>0</v>
      </c>
      <c r="AV259" s="27">
        <f t="shared" si="244"/>
        <v>0</v>
      </c>
      <c r="AW259" s="27">
        <f t="shared" si="245"/>
        <v>0</v>
      </c>
      <c r="AX259" s="29" t="s">
        <v>788</v>
      </c>
      <c r="AY259" s="29" t="s">
        <v>794</v>
      </c>
      <c r="AZ259" s="17" t="s">
        <v>796</v>
      </c>
      <c r="BB259" s="27">
        <f t="shared" si="246"/>
        <v>0</v>
      </c>
      <c r="BC259" s="27">
        <f t="shared" si="247"/>
        <v>0</v>
      </c>
      <c r="BD259" s="27">
        <v>0</v>
      </c>
      <c r="BE259" s="27">
        <f t="shared" si="248"/>
        <v>0</v>
      </c>
      <c r="BG259" s="26">
        <f t="shared" si="249"/>
        <v>0</v>
      </c>
      <c r="BH259" s="26">
        <f t="shared" si="250"/>
        <v>0</v>
      </c>
      <c r="BI259" s="26">
        <f t="shared" si="251"/>
        <v>0</v>
      </c>
    </row>
    <row r="260" spans="1:61" ht="12.75">
      <c r="A260" s="24" t="s">
        <v>233</v>
      </c>
      <c r="B260" s="25"/>
      <c r="C260" s="25" t="s">
        <v>478</v>
      </c>
      <c r="D260" s="25" t="s">
        <v>726</v>
      </c>
      <c r="E260" s="25" t="s">
        <v>754</v>
      </c>
      <c r="F260" s="26">
        <v>5</v>
      </c>
      <c r="G260" s="26">
        <f>'Smluvní ceník'!G260</f>
        <v>0</v>
      </c>
      <c r="H260" s="26">
        <f t="shared" si="228"/>
        <v>0</v>
      </c>
      <c r="I260" s="26">
        <f t="shared" si="229"/>
        <v>0</v>
      </c>
      <c r="J260" s="26">
        <f t="shared" si="230"/>
        <v>0</v>
      </c>
      <c r="K260" s="26">
        <v>0</v>
      </c>
      <c r="L260" s="26">
        <f t="shared" si="231"/>
        <v>0</v>
      </c>
      <c r="Y260" s="27">
        <f t="shared" si="232"/>
        <v>0</v>
      </c>
      <c r="AA260" s="27">
        <f t="shared" si="233"/>
        <v>0</v>
      </c>
      <c r="AB260" s="27">
        <f t="shared" si="234"/>
        <v>0</v>
      </c>
      <c r="AC260" s="27">
        <f t="shared" si="235"/>
        <v>0</v>
      </c>
      <c r="AD260" s="27">
        <f t="shared" si="236"/>
        <v>0</v>
      </c>
      <c r="AE260" s="27">
        <f t="shared" si="237"/>
        <v>0</v>
      </c>
      <c r="AF260" s="27">
        <f t="shared" si="238"/>
        <v>0</v>
      </c>
      <c r="AG260" s="27">
        <f t="shared" si="239"/>
        <v>0</v>
      </c>
      <c r="AH260" s="17"/>
      <c r="AI260" s="26">
        <f t="shared" si="240"/>
        <v>0</v>
      </c>
      <c r="AJ260" s="26">
        <f t="shared" si="241"/>
        <v>0</v>
      </c>
      <c r="AK260" s="26">
        <f t="shared" si="242"/>
        <v>0</v>
      </c>
      <c r="AM260" s="27">
        <v>21</v>
      </c>
      <c r="AN260" s="27">
        <f t="shared" si="252"/>
        <v>0</v>
      </c>
      <c r="AO260" s="27">
        <f t="shared" si="253"/>
        <v>0</v>
      </c>
      <c r="AP260" s="28" t="s">
        <v>11</v>
      </c>
      <c r="AU260" s="27">
        <f t="shared" si="243"/>
        <v>0</v>
      </c>
      <c r="AV260" s="27">
        <f t="shared" si="244"/>
        <v>0</v>
      </c>
      <c r="AW260" s="27">
        <f t="shared" si="245"/>
        <v>0</v>
      </c>
      <c r="AX260" s="29" t="s">
        <v>788</v>
      </c>
      <c r="AY260" s="29" t="s">
        <v>794</v>
      </c>
      <c r="AZ260" s="17" t="s">
        <v>796</v>
      </c>
      <c r="BB260" s="27">
        <f t="shared" si="246"/>
        <v>0</v>
      </c>
      <c r="BC260" s="27">
        <f t="shared" si="247"/>
        <v>0</v>
      </c>
      <c r="BD260" s="27">
        <v>0</v>
      </c>
      <c r="BE260" s="27">
        <f t="shared" si="248"/>
        <v>0</v>
      </c>
      <c r="BG260" s="26">
        <f t="shared" si="249"/>
        <v>0</v>
      </c>
      <c r="BH260" s="26">
        <f t="shared" si="250"/>
        <v>0</v>
      </c>
      <c r="BI260" s="26">
        <f t="shared" si="251"/>
        <v>0</v>
      </c>
    </row>
    <row r="261" spans="1:61" ht="12.75">
      <c r="A261" s="24" t="s">
        <v>234</v>
      </c>
      <c r="B261" s="25"/>
      <c r="C261" s="25" t="s">
        <v>479</v>
      </c>
      <c r="D261" s="25" t="s">
        <v>727</v>
      </c>
      <c r="E261" s="25" t="s">
        <v>754</v>
      </c>
      <c r="F261" s="26">
        <v>5</v>
      </c>
      <c r="G261" s="26">
        <f>'Smluvní ceník'!G261</f>
        <v>0</v>
      </c>
      <c r="H261" s="26">
        <f t="shared" si="228"/>
        <v>0</v>
      </c>
      <c r="I261" s="26">
        <f t="shared" si="229"/>
        <v>0</v>
      </c>
      <c r="J261" s="26">
        <f t="shared" si="230"/>
        <v>0</v>
      </c>
      <c r="K261" s="26">
        <v>0</v>
      </c>
      <c r="L261" s="26">
        <f t="shared" si="231"/>
        <v>0</v>
      </c>
      <c r="Y261" s="27">
        <f t="shared" si="232"/>
        <v>0</v>
      </c>
      <c r="AA261" s="27">
        <f t="shared" si="233"/>
        <v>0</v>
      </c>
      <c r="AB261" s="27">
        <f t="shared" si="234"/>
        <v>0</v>
      </c>
      <c r="AC261" s="27">
        <f t="shared" si="235"/>
        <v>0</v>
      </c>
      <c r="AD261" s="27">
        <f t="shared" si="236"/>
        <v>0</v>
      </c>
      <c r="AE261" s="27">
        <f t="shared" si="237"/>
        <v>0</v>
      </c>
      <c r="AF261" s="27">
        <f t="shared" si="238"/>
        <v>0</v>
      </c>
      <c r="AG261" s="27">
        <f t="shared" si="239"/>
        <v>0</v>
      </c>
      <c r="AH261" s="17"/>
      <c r="AI261" s="26">
        <f t="shared" si="240"/>
        <v>0</v>
      </c>
      <c r="AJ261" s="26">
        <f t="shared" si="241"/>
        <v>0</v>
      </c>
      <c r="AK261" s="26">
        <f t="shared" si="242"/>
        <v>0</v>
      </c>
      <c r="AM261" s="27">
        <v>21</v>
      </c>
      <c r="AN261" s="27">
        <f t="shared" si="252"/>
        <v>0</v>
      </c>
      <c r="AO261" s="27">
        <f t="shared" si="253"/>
        <v>0</v>
      </c>
      <c r="AP261" s="28" t="s">
        <v>11</v>
      </c>
      <c r="AU261" s="27">
        <f t="shared" si="243"/>
        <v>0</v>
      </c>
      <c r="AV261" s="27">
        <f t="shared" si="244"/>
        <v>0</v>
      </c>
      <c r="AW261" s="27">
        <f t="shared" si="245"/>
        <v>0</v>
      </c>
      <c r="AX261" s="29" t="s">
        <v>788</v>
      </c>
      <c r="AY261" s="29" t="s">
        <v>794</v>
      </c>
      <c r="AZ261" s="17" t="s">
        <v>796</v>
      </c>
      <c r="BB261" s="27">
        <f t="shared" si="246"/>
        <v>0</v>
      </c>
      <c r="BC261" s="27">
        <f t="shared" si="247"/>
        <v>0</v>
      </c>
      <c r="BD261" s="27">
        <v>0</v>
      </c>
      <c r="BE261" s="27">
        <f t="shared" si="248"/>
        <v>0</v>
      </c>
      <c r="BG261" s="26">
        <f t="shared" si="249"/>
        <v>0</v>
      </c>
      <c r="BH261" s="26">
        <f t="shared" si="250"/>
        <v>0</v>
      </c>
      <c r="BI261" s="26">
        <f t="shared" si="251"/>
        <v>0</v>
      </c>
    </row>
    <row r="262" spans="1:61" ht="12.75" hidden="1">
      <c r="A262" s="24" t="s">
        <v>235</v>
      </c>
      <c r="B262" s="25"/>
      <c r="C262" s="25" t="s">
        <v>480</v>
      </c>
      <c r="D262" s="25" t="s">
        <v>728</v>
      </c>
      <c r="E262" s="25" t="s">
        <v>754</v>
      </c>
      <c r="F262" s="26">
        <v>0</v>
      </c>
      <c r="G262" s="26">
        <f>'Smluvní ceník'!G262</f>
        <v>0</v>
      </c>
      <c r="H262" s="26">
        <f t="shared" si="228"/>
        <v>0</v>
      </c>
      <c r="I262" s="26">
        <f t="shared" si="229"/>
        <v>0</v>
      </c>
      <c r="J262" s="26">
        <f t="shared" si="230"/>
        <v>0</v>
      </c>
      <c r="K262" s="26">
        <v>0</v>
      </c>
      <c r="L262" s="26">
        <f t="shared" si="231"/>
        <v>0</v>
      </c>
      <c r="Y262" s="27">
        <f t="shared" si="232"/>
        <v>0</v>
      </c>
      <c r="AA262" s="27">
        <f t="shared" si="233"/>
        <v>0</v>
      </c>
      <c r="AB262" s="27">
        <f t="shared" si="234"/>
        <v>0</v>
      </c>
      <c r="AC262" s="27">
        <f t="shared" si="235"/>
        <v>0</v>
      </c>
      <c r="AD262" s="27">
        <f t="shared" si="236"/>
        <v>0</v>
      </c>
      <c r="AE262" s="27">
        <f t="shared" si="237"/>
        <v>0</v>
      </c>
      <c r="AF262" s="27">
        <f t="shared" si="238"/>
        <v>0</v>
      </c>
      <c r="AG262" s="27">
        <f t="shared" si="239"/>
        <v>0</v>
      </c>
      <c r="AH262" s="17"/>
      <c r="AI262" s="26">
        <f t="shared" si="240"/>
        <v>0</v>
      </c>
      <c r="AJ262" s="26">
        <f t="shared" si="241"/>
        <v>0</v>
      </c>
      <c r="AK262" s="26">
        <f t="shared" si="242"/>
        <v>0</v>
      </c>
      <c r="AM262" s="27">
        <v>21</v>
      </c>
      <c r="AN262" s="27">
        <f t="shared" si="252"/>
        <v>0</v>
      </c>
      <c r="AO262" s="27">
        <f t="shared" si="253"/>
        <v>0</v>
      </c>
      <c r="AP262" s="28" t="s">
        <v>11</v>
      </c>
      <c r="AU262" s="27">
        <f t="shared" si="243"/>
        <v>0</v>
      </c>
      <c r="AV262" s="27">
        <f t="shared" si="244"/>
        <v>0</v>
      </c>
      <c r="AW262" s="27">
        <f t="shared" si="245"/>
        <v>0</v>
      </c>
      <c r="AX262" s="29" t="s">
        <v>788</v>
      </c>
      <c r="AY262" s="29" t="s">
        <v>794</v>
      </c>
      <c r="AZ262" s="17" t="s">
        <v>796</v>
      </c>
      <c r="BB262" s="27">
        <f t="shared" si="246"/>
        <v>0</v>
      </c>
      <c r="BC262" s="27">
        <f t="shared" si="247"/>
        <v>0</v>
      </c>
      <c r="BD262" s="27">
        <v>0</v>
      </c>
      <c r="BE262" s="27">
        <f t="shared" si="248"/>
        <v>0</v>
      </c>
      <c r="BG262" s="26">
        <f t="shared" si="249"/>
        <v>0</v>
      </c>
      <c r="BH262" s="26">
        <f t="shared" si="250"/>
        <v>0</v>
      </c>
      <c r="BI262" s="26">
        <f t="shared" si="251"/>
        <v>0</v>
      </c>
    </row>
    <row r="263" spans="1:61" ht="12.75" hidden="1">
      <c r="A263" s="24" t="s">
        <v>236</v>
      </c>
      <c r="B263" s="25"/>
      <c r="C263" s="25" t="s">
        <v>481</v>
      </c>
      <c r="D263" s="25" t="s">
        <v>729</v>
      </c>
      <c r="E263" s="25" t="s">
        <v>754</v>
      </c>
      <c r="F263" s="26">
        <v>0</v>
      </c>
      <c r="G263" s="26">
        <f>'Smluvní ceník'!G263</f>
        <v>0</v>
      </c>
      <c r="H263" s="26">
        <f t="shared" si="228"/>
        <v>0</v>
      </c>
      <c r="I263" s="26">
        <f t="shared" si="229"/>
        <v>0</v>
      </c>
      <c r="J263" s="26">
        <f t="shared" si="230"/>
        <v>0</v>
      </c>
      <c r="K263" s="26">
        <v>0</v>
      </c>
      <c r="L263" s="26">
        <f t="shared" si="231"/>
        <v>0</v>
      </c>
      <c r="Y263" s="27">
        <f t="shared" si="232"/>
        <v>0</v>
      </c>
      <c r="AA263" s="27">
        <f t="shared" si="233"/>
        <v>0</v>
      </c>
      <c r="AB263" s="27">
        <f t="shared" si="234"/>
        <v>0</v>
      </c>
      <c r="AC263" s="27">
        <f t="shared" si="235"/>
        <v>0</v>
      </c>
      <c r="AD263" s="27">
        <f t="shared" si="236"/>
        <v>0</v>
      </c>
      <c r="AE263" s="27">
        <f t="shared" si="237"/>
        <v>0</v>
      </c>
      <c r="AF263" s="27">
        <f t="shared" si="238"/>
        <v>0</v>
      </c>
      <c r="AG263" s="27">
        <f t="shared" si="239"/>
        <v>0</v>
      </c>
      <c r="AH263" s="17"/>
      <c r="AI263" s="26">
        <f t="shared" si="240"/>
        <v>0</v>
      </c>
      <c r="AJ263" s="26">
        <f t="shared" si="241"/>
        <v>0</v>
      </c>
      <c r="AK263" s="26">
        <f t="shared" si="242"/>
        <v>0</v>
      </c>
      <c r="AM263" s="27">
        <v>21</v>
      </c>
      <c r="AN263" s="27">
        <f t="shared" si="252"/>
        <v>0</v>
      </c>
      <c r="AO263" s="27">
        <f t="shared" si="253"/>
        <v>0</v>
      </c>
      <c r="AP263" s="28" t="s">
        <v>11</v>
      </c>
      <c r="AU263" s="27">
        <f t="shared" si="243"/>
        <v>0</v>
      </c>
      <c r="AV263" s="27">
        <f t="shared" si="244"/>
        <v>0</v>
      </c>
      <c r="AW263" s="27">
        <f t="shared" si="245"/>
        <v>0</v>
      </c>
      <c r="AX263" s="29" t="s">
        <v>788</v>
      </c>
      <c r="AY263" s="29" t="s">
        <v>794</v>
      </c>
      <c r="AZ263" s="17" t="s">
        <v>796</v>
      </c>
      <c r="BB263" s="27">
        <f t="shared" si="246"/>
        <v>0</v>
      </c>
      <c r="BC263" s="27">
        <f t="shared" si="247"/>
        <v>0</v>
      </c>
      <c r="BD263" s="27">
        <v>0</v>
      </c>
      <c r="BE263" s="27">
        <f t="shared" si="248"/>
        <v>0</v>
      </c>
      <c r="BG263" s="26">
        <f t="shared" si="249"/>
        <v>0</v>
      </c>
      <c r="BH263" s="26">
        <f t="shared" si="250"/>
        <v>0</v>
      </c>
      <c r="BI263" s="26">
        <f t="shared" si="251"/>
        <v>0</v>
      </c>
    </row>
    <row r="264" spans="1:46" ht="12.75">
      <c r="A264" s="30"/>
      <c r="B264" s="31"/>
      <c r="C264" s="31" t="s">
        <v>96</v>
      </c>
      <c r="D264" s="31" t="s">
        <v>730</v>
      </c>
      <c r="E264" s="32" t="s">
        <v>6</v>
      </c>
      <c r="F264" s="32" t="s">
        <v>6</v>
      </c>
      <c r="G264" s="32" t="str">
        <f>'Smluvní ceník'!G264</f>
        <v> </v>
      </c>
      <c r="H264" s="23">
        <f>SUM(H265:H268)</f>
        <v>0</v>
      </c>
      <c r="I264" s="23">
        <f>SUM(I265:I268)</f>
        <v>0</v>
      </c>
      <c r="J264" s="23">
        <f>SUM(J265:J268)</f>
        <v>0</v>
      </c>
      <c r="K264" s="17"/>
      <c r="L264" s="23">
        <f>SUM(L265:L268)</f>
        <v>0</v>
      </c>
      <c r="AH264" s="17"/>
      <c r="AR264" s="23">
        <f>SUM(AI265:AI268)</f>
        <v>0</v>
      </c>
      <c r="AS264" s="23">
        <f>SUM(AJ265:AJ268)</f>
        <v>0</v>
      </c>
      <c r="AT264" s="23">
        <f>SUM(AK265:AK268)</f>
        <v>0</v>
      </c>
    </row>
    <row r="265" spans="1:61" ht="12.75">
      <c r="A265" s="24" t="s">
        <v>237</v>
      </c>
      <c r="B265" s="25"/>
      <c r="C265" s="25" t="s">
        <v>482</v>
      </c>
      <c r="D265" s="25" t="s">
        <v>731</v>
      </c>
      <c r="E265" s="25" t="s">
        <v>757</v>
      </c>
      <c r="F265" s="47">
        <v>100</v>
      </c>
      <c r="G265" s="26">
        <f>'Smluvní ceník'!G265</f>
        <v>0</v>
      </c>
      <c r="H265" s="26">
        <f>F265*AN265</f>
        <v>0</v>
      </c>
      <c r="I265" s="26">
        <f>F265*AO265</f>
        <v>0</v>
      </c>
      <c r="J265" s="26">
        <f>F265*G265</f>
        <v>0</v>
      </c>
      <c r="K265" s="26">
        <v>0</v>
      </c>
      <c r="L265" s="26">
        <f>F265*K265</f>
        <v>0</v>
      </c>
      <c r="Y265" s="27">
        <f>IF(AP265="5",BI265,0)</f>
        <v>0</v>
      </c>
      <c r="AA265" s="27">
        <f>IF(AP265="1",BG265,0)</f>
        <v>0</v>
      </c>
      <c r="AB265" s="27">
        <f>IF(AP265="1",BH265,0)</f>
        <v>0</v>
      </c>
      <c r="AC265" s="27">
        <f>IF(AP265="7",BG265,0)</f>
        <v>0</v>
      </c>
      <c r="AD265" s="27">
        <f>IF(AP265="7",BH265,0)</f>
        <v>0</v>
      </c>
      <c r="AE265" s="27">
        <f>IF(AP265="2",BG265,0)</f>
        <v>0</v>
      </c>
      <c r="AF265" s="27">
        <f>IF(AP265="2",BH265,0)</f>
        <v>0</v>
      </c>
      <c r="AG265" s="27">
        <f>IF(AP265="0",BI265,0)</f>
        <v>0</v>
      </c>
      <c r="AH265" s="17"/>
      <c r="AI265" s="26">
        <f>IF(AM265=0,J265,0)</f>
        <v>0</v>
      </c>
      <c r="AJ265" s="26">
        <f>IF(AM265=15,J265,0)</f>
        <v>0</v>
      </c>
      <c r="AK265" s="26">
        <f>IF(AM265=21,J265,0)</f>
        <v>0</v>
      </c>
      <c r="AM265" s="27">
        <v>21</v>
      </c>
      <c r="AN265" s="27">
        <f>G265*0</f>
        <v>0</v>
      </c>
      <c r="AO265" s="27">
        <f>G265*(1-0)</f>
        <v>0</v>
      </c>
      <c r="AP265" s="28" t="s">
        <v>7</v>
      </c>
      <c r="AU265" s="27">
        <f>AV265+AW265</f>
        <v>0</v>
      </c>
      <c r="AV265" s="27">
        <f>F265*AN265</f>
        <v>0</v>
      </c>
      <c r="AW265" s="27">
        <f>F265*AO265</f>
        <v>0</v>
      </c>
      <c r="AX265" s="29" t="s">
        <v>789</v>
      </c>
      <c r="AY265" s="29" t="s">
        <v>795</v>
      </c>
      <c r="AZ265" s="17" t="s">
        <v>796</v>
      </c>
      <c r="BB265" s="27">
        <f>AV265+AW265</f>
        <v>0</v>
      </c>
      <c r="BC265" s="27">
        <f>G265/(100-BD265)*100</f>
        <v>0</v>
      </c>
      <c r="BD265" s="27">
        <v>0</v>
      </c>
      <c r="BE265" s="27">
        <f>L265</f>
        <v>0</v>
      </c>
      <c r="BG265" s="26">
        <f>F265*AN265</f>
        <v>0</v>
      </c>
      <c r="BH265" s="26">
        <f>F265*AO265</f>
        <v>0</v>
      </c>
      <c r="BI265" s="26">
        <f>F265*G265</f>
        <v>0</v>
      </c>
    </row>
    <row r="266" spans="1:61" ht="12.75">
      <c r="A266" s="24" t="s">
        <v>238</v>
      </c>
      <c r="B266" s="25"/>
      <c r="C266" s="25" t="s">
        <v>483</v>
      </c>
      <c r="D266" s="25" t="s">
        <v>732</v>
      </c>
      <c r="E266" s="25" t="s">
        <v>757</v>
      </c>
      <c r="F266" s="47">
        <v>20</v>
      </c>
      <c r="G266" s="26">
        <f>'Smluvní ceník'!G266</f>
        <v>0</v>
      </c>
      <c r="H266" s="26">
        <f>F266*AN266</f>
        <v>0</v>
      </c>
      <c r="I266" s="26">
        <f>F266*AO266</f>
        <v>0</v>
      </c>
      <c r="J266" s="26">
        <f>F266*G266</f>
        <v>0</v>
      </c>
      <c r="K266" s="26">
        <v>0</v>
      </c>
      <c r="L266" s="26">
        <f>F266*K266</f>
        <v>0</v>
      </c>
      <c r="Y266" s="27">
        <f>IF(AP266="5",BI266,0)</f>
        <v>0</v>
      </c>
      <c r="AA266" s="27">
        <f>IF(AP266="1",BG266,0)</f>
        <v>0</v>
      </c>
      <c r="AB266" s="27">
        <f>IF(AP266="1",BH266,0)</f>
        <v>0</v>
      </c>
      <c r="AC266" s="27">
        <f>IF(AP266="7",BG266,0)</f>
        <v>0</v>
      </c>
      <c r="AD266" s="27">
        <f>IF(AP266="7",BH266,0)</f>
        <v>0</v>
      </c>
      <c r="AE266" s="27">
        <f>IF(AP266="2",BG266,0)</f>
        <v>0</v>
      </c>
      <c r="AF266" s="27">
        <f>IF(AP266="2",BH266,0)</f>
        <v>0</v>
      </c>
      <c r="AG266" s="27">
        <f>IF(AP266="0",BI266,0)</f>
        <v>0</v>
      </c>
      <c r="AH266" s="17"/>
      <c r="AI266" s="26">
        <f>IF(AM266=0,J266,0)</f>
        <v>0</v>
      </c>
      <c r="AJ266" s="26">
        <f>IF(AM266=15,J266,0)</f>
        <v>0</v>
      </c>
      <c r="AK266" s="26">
        <f>IF(AM266=21,J266,0)</f>
        <v>0</v>
      </c>
      <c r="AM266" s="27">
        <v>21</v>
      </c>
      <c r="AN266" s="27">
        <f>G266*0</f>
        <v>0</v>
      </c>
      <c r="AO266" s="27">
        <f>G266*(1-0)</f>
        <v>0</v>
      </c>
      <c r="AP266" s="28" t="s">
        <v>7</v>
      </c>
      <c r="AU266" s="27">
        <f>AV266+AW266</f>
        <v>0</v>
      </c>
      <c r="AV266" s="27">
        <f>F266*AN266</f>
        <v>0</v>
      </c>
      <c r="AW266" s="27">
        <f>F266*AO266</f>
        <v>0</v>
      </c>
      <c r="AX266" s="29" t="s">
        <v>789</v>
      </c>
      <c r="AY266" s="29" t="s">
        <v>795</v>
      </c>
      <c r="AZ266" s="17" t="s">
        <v>796</v>
      </c>
      <c r="BB266" s="27">
        <f>AV266+AW266</f>
        <v>0</v>
      </c>
      <c r="BC266" s="27">
        <f>G266/(100-BD266)*100</f>
        <v>0</v>
      </c>
      <c r="BD266" s="27">
        <v>0</v>
      </c>
      <c r="BE266" s="27">
        <f>L266</f>
        <v>0</v>
      </c>
      <c r="BG266" s="26">
        <f>F266*AN266</f>
        <v>0</v>
      </c>
      <c r="BH266" s="26">
        <f>F266*AO266</f>
        <v>0</v>
      </c>
      <c r="BI266" s="26">
        <f>F266*G266</f>
        <v>0</v>
      </c>
    </row>
    <row r="267" spans="1:61" ht="12.75">
      <c r="A267" s="24" t="s">
        <v>239</v>
      </c>
      <c r="B267" s="25"/>
      <c r="C267" s="25" t="s">
        <v>484</v>
      </c>
      <c r="D267" s="25" t="s">
        <v>733</v>
      </c>
      <c r="E267" s="25" t="s">
        <v>757</v>
      </c>
      <c r="F267" s="47">
        <v>40</v>
      </c>
      <c r="G267" s="26">
        <f>'Smluvní ceník'!G267</f>
        <v>0</v>
      </c>
      <c r="H267" s="26">
        <f>F267*AN267</f>
        <v>0</v>
      </c>
      <c r="I267" s="26">
        <f>F267*AO267</f>
        <v>0</v>
      </c>
      <c r="J267" s="26">
        <f>F267*G267</f>
        <v>0</v>
      </c>
      <c r="K267" s="26">
        <v>0</v>
      </c>
      <c r="L267" s="26">
        <f>F267*K267</f>
        <v>0</v>
      </c>
      <c r="Y267" s="27">
        <f>IF(AP267="5",BI267,0)</f>
        <v>0</v>
      </c>
      <c r="AA267" s="27">
        <f>IF(AP267="1",BG267,0)</f>
        <v>0</v>
      </c>
      <c r="AB267" s="27">
        <f>IF(AP267="1",BH267,0)</f>
        <v>0</v>
      </c>
      <c r="AC267" s="27">
        <f>IF(AP267="7",BG267,0)</f>
        <v>0</v>
      </c>
      <c r="AD267" s="27">
        <f>IF(AP267="7",BH267,0)</f>
        <v>0</v>
      </c>
      <c r="AE267" s="27">
        <f>IF(AP267="2",BG267,0)</f>
        <v>0</v>
      </c>
      <c r="AF267" s="27">
        <f>IF(AP267="2",BH267,0)</f>
        <v>0</v>
      </c>
      <c r="AG267" s="27">
        <f>IF(AP267="0",BI267,0)</f>
        <v>0</v>
      </c>
      <c r="AH267" s="17"/>
      <c r="AI267" s="26">
        <f>IF(AM267=0,J267,0)</f>
        <v>0</v>
      </c>
      <c r="AJ267" s="26">
        <f>IF(AM267=15,J267,0)</f>
        <v>0</v>
      </c>
      <c r="AK267" s="26">
        <f>IF(AM267=21,J267,0)</f>
        <v>0</v>
      </c>
      <c r="AM267" s="27">
        <v>21</v>
      </c>
      <c r="AN267" s="27">
        <f>G267*0</f>
        <v>0</v>
      </c>
      <c r="AO267" s="27">
        <f>G267*(1-0)</f>
        <v>0</v>
      </c>
      <c r="AP267" s="28" t="s">
        <v>7</v>
      </c>
      <c r="AU267" s="27">
        <f>AV267+AW267</f>
        <v>0</v>
      </c>
      <c r="AV267" s="27">
        <f>F267*AN267</f>
        <v>0</v>
      </c>
      <c r="AW267" s="27">
        <f>F267*AO267</f>
        <v>0</v>
      </c>
      <c r="AX267" s="29" t="s">
        <v>789</v>
      </c>
      <c r="AY267" s="29" t="s">
        <v>795</v>
      </c>
      <c r="AZ267" s="17" t="s">
        <v>796</v>
      </c>
      <c r="BB267" s="27">
        <f>AV267+AW267</f>
        <v>0</v>
      </c>
      <c r="BC267" s="27">
        <f>G267/(100-BD267)*100</f>
        <v>0</v>
      </c>
      <c r="BD267" s="27">
        <v>0</v>
      </c>
      <c r="BE267" s="27">
        <f>L267</f>
        <v>0</v>
      </c>
      <c r="BG267" s="26">
        <f>F267*AN267</f>
        <v>0</v>
      </c>
      <c r="BH267" s="26">
        <f>F267*AO267</f>
        <v>0</v>
      </c>
      <c r="BI267" s="26">
        <f>F267*G267</f>
        <v>0</v>
      </c>
    </row>
    <row r="268" spans="1:61" ht="12.75">
      <c r="A268" s="24" t="s">
        <v>240</v>
      </c>
      <c r="B268" s="25"/>
      <c r="C268" s="25" t="s">
        <v>485</v>
      </c>
      <c r="D268" s="25" t="s">
        <v>734</v>
      </c>
      <c r="E268" s="25" t="s">
        <v>757</v>
      </c>
      <c r="F268" s="47">
        <v>100</v>
      </c>
      <c r="G268" s="26">
        <f>'Smluvní ceník'!G268</f>
        <v>0</v>
      </c>
      <c r="H268" s="26">
        <f>F268*AN268</f>
        <v>0</v>
      </c>
      <c r="I268" s="26">
        <f>F268*AO268</f>
        <v>0</v>
      </c>
      <c r="J268" s="26">
        <f>F268*G268</f>
        <v>0</v>
      </c>
      <c r="K268" s="26">
        <v>0</v>
      </c>
      <c r="L268" s="26">
        <f>F268*K268</f>
        <v>0</v>
      </c>
      <c r="Y268" s="27">
        <f>IF(AP268="5",BI268,0)</f>
        <v>0</v>
      </c>
      <c r="AA268" s="27">
        <f>IF(AP268="1",BG268,0)</f>
        <v>0</v>
      </c>
      <c r="AB268" s="27">
        <f>IF(AP268="1",BH268,0)</f>
        <v>0</v>
      </c>
      <c r="AC268" s="27">
        <f>IF(AP268="7",BG268,0)</f>
        <v>0</v>
      </c>
      <c r="AD268" s="27">
        <f>IF(AP268="7",BH268,0)</f>
        <v>0</v>
      </c>
      <c r="AE268" s="27">
        <f>IF(AP268="2",BG268,0)</f>
        <v>0</v>
      </c>
      <c r="AF268" s="27">
        <f>IF(AP268="2",BH268,0)</f>
        <v>0</v>
      </c>
      <c r="AG268" s="27">
        <f>IF(AP268="0",BI268,0)</f>
        <v>0</v>
      </c>
      <c r="AH268" s="17"/>
      <c r="AI268" s="26">
        <f>IF(AM268=0,J268,0)</f>
        <v>0</v>
      </c>
      <c r="AJ268" s="26">
        <f>IF(AM268=15,J268,0)</f>
        <v>0</v>
      </c>
      <c r="AK268" s="26">
        <f>IF(AM268=21,J268,0)</f>
        <v>0</v>
      </c>
      <c r="AM268" s="27">
        <v>21</v>
      </c>
      <c r="AN268" s="27">
        <f>G268*0</f>
        <v>0</v>
      </c>
      <c r="AO268" s="27">
        <f>G268*(1-0)</f>
        <v>0</v>
      </c>
      <c r="AP268" s="28" t="s">
        <v>7</v>
      </c>
      <c r="AU268" s="27">
        <f>AV268+AW268</f>
        <v>0</v>
      </c>
      <c r="AV268" s="27">
        <f>F268*AN268</f>
        <v>0</v>
      </c>
      <c r="AW268" s="27">
        <f>F268*AO268</f>
        <v>0</v>
      </c>
      <c r="AX268" s="29" t="s">
        <v>789</v>
      </c>
      <c r="AY268" s="29" t="s">
        <v>795</v>
      </c>
      <c r="AZ268" s="17" t="s">
        <v>796</v>
      </c>
      <c r="BB268" s="27">
        <f>AV268+AW268</f>
        <v>0</v>
      </c>
      <c r="BC268" s="27">
        <f>G268/(100-BD268)*100</f>
        <v>0</v>
      </c>
      <c r="BD268" s="27">
        <v>0</v>
      </c>
      <c r="BE268" s="27">
        <f>L268</f>
        <v>0</v>
      </c>
      <c r="BG268" s="26">
        <f>F268*AN268</f>
        <v>0</v>
      </c>
      <c r="BH268" s="26">
        <f>F268*AO268</f>
        <v>0</v>
      </c>
      <c r="BI268" s="26">
        <f>F268*G268</f>
        <v>0</v>
      </c>
    </row>
    <row r="269" spans="1:46" ht="12.75">
      <c r="A269" s="30"/>
      <c r="B269" s="31"/>
      <c r="C269" s="31" t="s">
        <v>101</v>
      </c>
      <c r="D269" s="31" t="s">
        <v>735</v>
      </c>
      <c r="E269" s="32" t="s">
        <v>6</v>
      </c>
      <c r="F269" s="32" t="s">
        <v>6</v>
      </c>
      <c r="G269" s="32" t="str">
        <f>'Smluvní ceník'!G269</f>
        <v> </v>
      </c>
      <c r="H269" s="23">
        <f>SUM(H270:H273)</f>
        <v>0</v>
      </c>
      <c r="I269" s="23">
        <f>SUM(I270:I273)</f>
        <v>0</v>
      </c>
      <c r="J269" s="23">
        <f>SUM(J270:J273)</f>
        <v>0</v>
      </c>
      <c r="K269" s="17"/>
      <c r="L269" s="23">
        <f>SUM(L270:L273)</f>
        <v>0.01</v>
      </c>
      <c r="AH269" s="17"/>
      <c r="AR269" s="23">
        <f>SUM(AI270:AI273)</f>
        <v>0</v>
      </c>
      <c r="AS269" s="23">
        <f>SUM(AJ270:AJ273)</f>
        <v>0</v>
      </c>
      <c r="AT269" s="23">
        <f>SUM(AK270:AK273)</f>
        <v>0</v>
      </c>
    </row>
    <row r="270" spans="1:61" ht="12.75">
      <c r="A270" s="24" t="s">
        <v>241</v>
      </c>
      <c r="B270" s="25"/>
      <c r="C270" s="25" t="s">
        <v>486</v>
      </c>
      <c r="D270" s="25" t="s">
        <v>736</v>
      </c>
      <c r="E270" s="25" t="s">
        <v>750</v>
      </c>
      <c r="F270" s="47">
        <v>200</v>
      </c>
      <c r="G270" s="26">
        <f>'Smluvní ceník'!G270</f>
        <v>0</v>
      </c>
      <c r="H270" s="26">
        <f>F270*AN270</f>
        <v>0</v>
      </c>
      <c r="I270" s="26">
        <f>F270*AO270</f>
        <v>0</v>
      </c>
      <c r="J270" s="26">
        <f>F270*G270</f>
        <v>0</v>
      </c>
      <c r="K270" s="26">
        <v>1E-05</v>
      </c>
      <c r="L270" s="26">
        <f>F270*K270</f>
        <v>0.002</v>
      </c>
      <c r="Y270" s="27">
        <f>IF(AP270="5",BI270,0)</f>
        <v>0</v>
      </c>
      <c r="AA270" s="27">
        <f>IF(AP270="1",BG270,0)</f>
        <v>0</v>
      </c>
      <c r="AB270" s="27">
        <f>IF(AP270="1",BH270,0)</f>
        <v>0</v>
      </c>
      <c r="AC270" s="27">
        <f>IF(AP270="7",BG270,0)</f>
        <v>0</v>
      </c>
      <c r="AD270" s="27">
        <f>IF(AP270="7",BH270,0)</f>
        <v>0</v>
      </c>
      <c r="AE270" s="27">
        <f>IF(AP270="2",BG270,0)</f>
        <v>0</v>
      </c>
      <c r="AF270" s="27">
        <f>IF(AP270="2",BH270,0)</f>
        <v>0</v>
      </c>
      <c r="AG270" s="27">
        <f>IF(AP270="0",BI270,0)</f>
        <v>0</v>
      </c>
      <c r="AH270" s="17"/>
      <c r="AI270" s="26">
        <f>IF(AM270=0,J270,0)</f>
        <v>0</v>
      </c>
      <c r="AJ270" s="26">
        <f>IF(AM270=15,J270,0)</f>
        <v>0</v>
      </c>
      <c r="AK270" s="26">
        <f>IF(AM270=21,J270,0)</f>
        <v>0</v>
      </c>
      <c r="AM270" s="27">
        <v>21</v>
      </c>
      <c r="AN270" s="27">
        <f>G270*0.0195918367346939</f>
        <v>0</v>
      </c>
      <c r="AO270" s="27">
        <f>G270*(1-0.0195918367346939)</f>
        <v>0</v>
      </c>
      <c r="AP270" s="28" t="s">
        <v>7</v>
      </c>
      <c r="AU270" s="27">
        <f>AV270+AW270</f>
        <v>0</v>
      </c>
      <c r="AV270" s="27">
        <f>F270*AN270</f>
        <v>0</v>
      </c>
      <c r="AW270" s="27">
        <f>F270*AO270</f>
        <v>0</v>
      </c>
      <c r="AX270" s="29" t="s">
        <v>790</v>
      </c>
      <c r="AY270" s="29" t="s">
        <v>795</v>
      </c>
      <c r="AZ270" s="17" t="s">
        <v>796</v>
      </c>
      <c r="BB270" s="27">
        <f>AV270+AW270</f>
        <v>0</v>
      </c>
      <c r="BC270" s="27">
        <f>G270/(100-BD270)*100</f>
        <v>0</v>
      </c>
      <c r="BD270" s="27">
        <v>0</v>
      </c>
      <c r="BE270" s="27">
        <f>L270</f>
        <v>0.002</v>
      </c>
      <c r="BG270" s="26">
        <f>F270*AN270</f>
        <v>0</v>
      </c>
      <c r="BH270" s="26">
        <f>F270*AO270</f>
        <v>0</v>
      </c>
      <c r="BI270" s="26">
        <f>F270*G270</f>
        <v>0</v>
      </c>
    </row>
    <row r="271" spans="1:61" ht="12.75">
      <c r="A271" s="24" t="s">
        <v>242</v>
      </c>
      <c r="B271" s="25"/>
      <c r="C271" s="25" t="s">
        <v>487</v>
      </c>
      <c r="D271" s="25" t="s">
        <v>737</v>
      </c>
      <c r="E271" s="25" t="s">
        <v>750</v>
      </c>
      <c r="F271" s="47">
        <v>200</v>
      </c>
      <c r="G271" s="26">
        <f>'Smluvní ceník'!G271</f>
        <v>0</v>
      </c>
      <c r="H271" s="26">
        <f>F271*AN271</f>
        <v>0</v>
      </c>
      <c r="I271" s="26">
        <f>F271*AO271</f>
        <v>0</v>
      </c>
      <c r="J271" s="26">
        <f>F271*G271</f>
        <v>0</v>
      </c>
      <c r="K271" s="26">
        <v>0</v>
      </c>
      <c r="L271" s="26">
        <f>F271*K271</f>
        <v>0</v>
      </c>
      <c r="Y271" s="27">
        <f>IF(AP271="5",BI271,0)</f>
        <v>0</v>
      </c>
      <c r="AA271" s="27">
        <f>IF(AP271="1",BG271,0)</f>
        <v>0</v>
      </c>
      <c r="AB271" s="27">
        <f>IF(AP271="1",BH271,0)</f>
        <v>0</v>
      </c>
      <c r="AC271" s="27">
        <f>IF(AP271="7",BG271,0)</f>
        <v>0</v>
      </c>
      <c r="AD271" s="27">
        <f>IF(AP271="7",BH271,0)</f>
        <v>0</v>
      </c>
      <c r="AE271" s="27">
        <f>IF(AP271="2",BG271,0)</f>
        <v>0</v>
      </c>
      <c r="AF271" s="27">
        <f>IF(AP271="2",BH271,0)</f>
        <v>0</v>
      </c>
      <c r="AG271" s="27">
        <f>IF(AP271="0",BI271,0)</f>
        <v>0</v>
      </c>
      <c r="AH271" s="17"/>
      <c r="AI271" s="26">
        <f>IF(AM271=0,J271,0)</f>
        <v>0</v>
      </c>
      <c r="AJ271" s="26">
        <f>IF(AM271=15,J271,0)</f>
        <v>0</v>
      </c>
      <c r="AK271" s="26">
        <f>IF(AM271=21,J271,0)</f>
        <v>0</v>
      </c>
      <c r="AM271" s="27">
        <v>21</v>
      </c>
      <c r="AN271" s="27">
        <f>G271*0</f>
        <v>0</v>
      </c>
      <c r="AO271" s="27">
        <f>G271*(1-0)</f>
        <v>0</v>
      </c>
      <c r="AP271" s="28" t="s">
        <v>7</v>
      </c>
      <c r="AU271" s="27">
        <f>AV271+AW271</f>
        <v>0</v>
      </c>
      <c r="AV271" s="27">
        <f>F271*AN271</f>
        <v>0</v>
      </c>
      <c r="AW271" s="27">
        <f>F271*AO271</f>
        <v>0</v>
      </c>
      <c r="AX271" s="29" t="s">
        <v>790</v>
      </c>
      <c r="AY271" s="29" t="s">
        <v>795</v>
      </c>
      <c r="AZ271" s="17" t="s">
        <v>796</v>
      </c>
      <c r="BB271" s="27">
        <f>AV271+AW271</f>
        <v>0</v>
      </c>
      <c r="BC271" s="27">
        <f>G271/(100-BD271)*100</f>
        <v>0</v>
      </c>
      <c r="BD271" s="27">
        <v>0</v>
      </c>
      <c r="BE271" s="27">
        <f>L271</f>
        <v>0</v>
      </c>
      <c r="BG271" s="26">
        <f>F271*AN271</f>
        <v>0</v>
      </c>
      <c r="BH271" s="26">
        <f>F271*AO271</f>
        <v>0</v>
      </c>
      <c r="BI271" s="26">
        <f>F271*G271</f>
        <v>0</v>
      </c>
    </row>
    <row r="272" spans="1:61" ht="12.75">
      <c r="A272" s="24" t="s">
        <v>243</v>
      </c>
      <c r="B272" s="25"/>
      <c r="C272" s="25" t="s">
        <v>488</v>
      </c>
      <c r="D272" s="25" t="s">
        <v>738</v>
      </c>
      <c r="E272" s="25" t="s">
        <v>750</v>
      </c>
      <c r="F272" s="47">
        <v>200</v>
      </c>
      <c r="G272" s="26">
        <f>'Smluvní ceník'!G272</f>
        <v>0</v>
      </c>
      <c r="H272" s="26">
        <f>F272*AN272</f>
        <v>0</v>
      </c>
      <c r="I272" s="26">
        <f>F272*AO272</f>
        <v>0</v>
      </c>
      <c r="J272" s="26">
        <f>F272*G272</f>
        <v>0</v>
      </c>
      <c r="K272" s="26">
        <v>4E-05</v>
      </c>
      <c r="L272" s="26">
        <f>F272*K272</f>
        <v>0.008</v>
      </c>
      <c r="Y272" s="27">
        <f>IF(AP272="5",BI272,0)</f>
        <v>0</v>
      </c>
      <c r="AA272" s="27">
        <f>IF(AP272="1",BG272,0)</f>
        <v>0</v>
      </c>
      <c r="AB272" s="27">
        <f>IF(AP272="1",BH272,0)</f>
        <v>0</v>
      </c>
      <c r="AC272" s="27">
        <f>IF(AP272="7",BG272,0)</f>
        <v>0</v>
      </c>
      <c r="AD272" s="27">
        <f>IF(AP272="7",BH272,0)</f>
        <v>0</v>
      </c>
      <c r="AE272" s="27">
        <f>IF(AP272="2",BG272,0)</f>
        <v>0</v>
      </c>
      <c r="AF272" s="27">
        <f>IF(AP272="2",BH272,0)</f>
        <v>0</v>
      </c>
      <c r="AG272" s="27">
        <f>IF(AP272="0",BI272,0)</f>
        <v>0</v>
      </c>
      <c r="AH272" s="17"/>
      <c r="AI272" s="26">
        <f>IF(AM272=0,J272,0)</f>
        <v>0</v>
      </c>
      <c r="AJ272" s="26">
        <f>IF(AM272=15,J272,0)</f>
        <v>0</v>
      </c>
      <c r="AK272" s="26">
        <f>IF(AM272=21,J272,0)</f>
        <v>0</v>
      </c>
      <c r="AM272" s="27">
        <v>21</v>
      </c>
      <c r="AN272" s="27">
        <f>G272*0.0123809523809524</f>
        <v>0</v>
      </c>
      <c r="AO272" s="27">
        <f>G272*(1-0.0123809523809524)</f>
        <v>0</v>
      </c>
      <c r="AP272" s="28" t="s">
        <v>7</v>
      </c>
      <c r="AU272" s="27">
        <f>AV272+AW272</f>
        <v>0</v>
      </c>
      <c r="AV272" s="27">
        <f>F272*AN272</f>
        <v>0</v>
      </c>
      <c r="AW272" s="27">
        <f>F272*AO272</f>
        <v>0</v>
      </c>
      <c r="AX272" s="29" t="s">
        <v>790</v>
      </c>
      <c r="AY272" s="29" t="s">
        <v>795</v>
      </c>
      <c r="AZ272" s="17" t="s">
        <v>796</v>
      </c>
      <c r="BB272" s="27">
        <f>AV272+AW272</f>
        <v>0</v>
      </c>
      <c r="BC272" s="27">
        <f>G272/(100-BD272)*100</f>
        <v>0</v>
      </c>
      <c r="BD272" s="27">
        <v>0</v>
      </c>
      <c r="BE272" s="27">
        <f>L272</f>
        <v>0.008</v>
      </c>
      <c r="BG272" s="26">
        <f>F272*AN272</f>
        <v>0</v>
      </c>
      <c r="BH272" s="26">
        <f>F272*AO272</f>
        <v>0</v>
      </c>
      <c r="BI272" s="26">
        <f>F272*G272</f>
        <v>0</v>
      </c>
    </row>
    <row r="273" spans="1:61" ht="12.75" hidden="1">
      <c r="A273" s="24" t="s">
        <v>244</v>
      </c>
      <c r="B273" s="25"/>
      <c r="C273" s="25" t="s">
        <v>489</v>
      </c>
      <c r="D273" s="25" t="s">
        <v>739</v>
      </c>
      <c r="E273" s="25" t="s">
        <v>750</v>
      </c>
      <c r="F273" s="26">
        <v>0</v>
      </c>
      <c r="G273" s="26">
        <f>'Smluvní ceník'!G273</f>
        <v>0</v>
      </c>
      <c r="H273" s="26">
        <f>F273*AN273</f>
        <v>0</v>
      </c>
      <c r="I273" s="26">
        <f>F273*AO273</f>
        <v>0</v>
      </c>
      <c r="J273" s="26">
        <f>F273*G273</f>
        <v>0</v>
      </c>
      <c r="K273" s="26">
        <v>4E-05</v>
      </c>
      <c r="L273" s="26">
        <f>F273*K273</f>
        <v>0</v>
      </c>
      <c r="Y273" s="27">
        <f>IF(AP273="5",BI273,0)</f>
        <v>0</v>
      </c>
      <c r="AA273" s="27">
        <f>IF(AP273="1",BG273,0)</f>
        <v>0</v>
      </c>
      <c r="AB273" s="27">
        <f>IF(AP273="1",BH273,0)</f>
        <v>0</v>
      </c>
      <c r="AC273" s="27">
        <f>IF(AP273="7",BG273,0)</f>
        <v>0</v>
      </c>
      <c r="AD273" s="27">
        <f>IF(AP273="7",BH273,0)</f>
        <v>0</v>
      </c>
      <c r="AE273" s="27">
        <f>IF(AP273="2",BG273,0)</f>
        <v>0</v>
      </c>
      <c r="AF273" s="27">
        <f>IF(AP273="2",BH273,0)</f>
        <v>0</v>
      </c>
      <c r="AG273" s="27">
        <f>IF(AP273="0",BI273,0)</f>
        <v>0</v>
      </c>
      <c r="AH273" s="17"/>
      <c r="AI273" s="26">
        <f>IF(AM273=0,J273,0)</f>
        <v>0</v>
      </c>
      <c r="AJ273" s="26">
        <f>IF(AM273=15,J273,0)</f>
        <v>0</v>
      </c>
      <c r="AK273" s="26">
        <f>IF(AM273=21,J273,0)</f>
        <v>0</v>
      </c>
      <c r="AM273" s="27">
        <v>21</v>
      </c>
      <c r="AN273" s="27">
        <f>G273*0.0107924528301887</f>
        <v>0</v>
      </c>
      <c r="AO273" s="27">
        <f>G273*(1-0.0107924528301887)</f>
        <v>0</v>
      </c>
      <c r="AP273" s="28" t="s">
        <v>7</v>
      </c>
      <c r="AU273" s="27">
        <f>AV273+AW273</f>
        <v>0</v>
      </c>
      <c r="AV273" s="27">
        <f>F273*AN273</f>
        <v>0</v>
      </c>
      <c r="AW273" s="27">
        <f>F273*AO273</f>
        <v>0</v>
      </c>
      <c r="AX273" s="29" t="s">
        <v>790</v>
      </c>
      <c r="AY273" s="29" t="s">
        <v>795</v>
      </c>
      <c r="AZ273" s="17" t="s">
        <v>796</v>
      </c>
      <c r="BB273" s="27">
        <f>AV273+AW273</f>
        <v>0</v>
      </c>
      <c r="BC273" s="27">
        <f>G273/(100-BD273)*100</f>
        <v>0</v>
      </c>
      <c r="BD273" s="27">
        <v>0</v>
      </c>
      <c r="BE273" s="27">
        <f>L273</f>
        <v>0</v>
      </c>
      <c r="BG273" s="26">
        <f>F273*AN273</f>
        <v>0</v>
      </c>
      <c r="BH273" s="26">
        <f>F273*AO273</f>
        <v>0</v>
      </c>
      <c r="BI273" s="26">
        <f>F273*G273</f>
        <v>0</v>
      </c>
    </row>
    <row r="274" spans="1:46" ht="12.75">
      <c r="A274" s="30"/>
      <c r="B274" s="31"/>
      <c r="C274" s="31" t="s">
        <v>490</v>
      </c>
      <c r="D274" s="31" t="s">
        <v>740</v>
      </c>
      <c r="E274" s="32" t="s">
        <v>6</v>
      </c>
      <c r="F274" s="32" t="s">
        <v>6</v>
      </c>
      <c r="G274" s="32" t="str">
        <f>'Smluvní ceník'!G274</f>
        <v> </v>
      </c>
      <c r="H274" s="23">
        <f>SUM(H275:H278)</f>
        <v>0</v>
      </c>
      <c r="I274" s="23">
        <f>SUM(I275:I278)</f>
        <v>0</v>
      </c>
      <c r="J274" s="23">
        <f>SUM(J275:J278)</f>
        <v>0</v>
      </c>
      <c r="K274" s="17"/>
      <c r="L274" s="23">
        <f>SUM(L275:L278)</f>
        <v>0</v>
      </c>
      <c r="AH274" s="17"/>
      <c r="AR274" s="23">
        <f>SUM(AI275:AI278)</f>
        <v>0</v>
      </c>
      <c r="AS274" s="23">
        <f>SUM(AJ275:AJ278)</f>
        <v>0</v>
      </c>
      <c r="AT274" s="23">
        <f>SUM(AK275:AK278)</f>
        <v>0</v>
      </c>
    </row>
    <row r="275" spans="1:61" ht="12.75">
      <c r="A275" s="24" t="s">
        <v>245</v>
      </c>
      <c r="B275" s="25"/>
      <c r="C275" s="25" t="s">
        <v>491</v>
      </c>
      <c r="D275" s="25" t="s">
        <v>741</v>
      </c>
      <c r="E275" s="25" t="s">
        <v>754</v>
      </c>
      <c r="F275" s="47">
        <v>5</v>
      </c>
      <c r="G275" s="26">
        <f>'Smluvní ceník'!G275</f>
        <v>0</v>
      </c>
      <c r="H275" s="26">
        <f>F275*AN275</f>
        <v>0</v>
      </c>
      <c r="I275" s="26">
        <f>F275*AO275</f>
        <v>0</v>
      </c>
      <c r="J275" s="26">
        <f>F275*G275</f>
        <v>0</v>
      </c>
      <c r="K275" s="26">
        <v>0</v>
      </c>
      <c r="L275" s="26">
        <f>F275*K275</f>
        <v>0</v>
      </c>
      <c r="Y275" s="27">
        <f>IF(AP275="5",BI275,0)</f>
        <v>0</v>
      </c>
      <c r="AA275" s="27">
        <f>IF(AP275="1",BG275,0)</f>
        <v>0</v>
      </c>
      <c r="AB275" s="27">
        <f>IF(AP275="1",BH275,0)</f>
        <v>0</v>
      </c>
      <c r="AC275" s="27">
        <f>IF(AP275="7",BG275,0)</f>
        <v>0</v>
      </c>
      <c r="AD275" s="27">
        <f>IF(AP275="7",BH275,0)</f>
        <v>0</v>
      </c>
      <c r="AE275" s="27">
        <f>IF(AP275="2",BG275,0)</f>
        <v>0</v>
      </c>
      <c r="AF275" s="27">
        <f>IF(AP275="2",BH275,0)</f>
        <v>0</v>
      </c>
      <c r="AG275" s="27">
        <f>IF(AP275="0",BI275,0)</f>
        <v>0</v>
      </c>
      <c r="AH275" s="17"/>
      <c r="AI275" s="26">
        <f>IF(AM275=0,J275,0)</f>
        <v>0</v>
      </c>
      <c r="AJ275" s="26">
        <f>IF(AM275=15,J275,0)</f>
        <v>0</v>
      </c>
      <c r="AK275" s="26">
        <f>IF(AM275=21,J275,0)</f>
        <v>0</v>
      </c>
      <c r="AM275" s="27">
        <v>21</v>
      </c>
      <c r="AN275" s="27">
        <f>G275*0</f>
        <v>0</v>
      </c>
      <c r="AO275" s="27">
        <f>G275*(1-0)</f>
        <v>0</v>
      </c>
      <c r="AP275" s="28" t="s">
        <v>11</v>
      </c>
      <c r="AU275" s="27">
        <f>AV275+AW275</f>
        <v>0</v>
      </c>
      <c r="AV275" s="27">
        <f>F275*AN275</f>
        <v>0</v>
      </c>
      <c r="AW275" s="27">
        <f>F275*AO275</f>
        <v>0</v>
      </c>
      <c r="AX275" s="29" t="s">
        <v>791</v>
      </c>
      <c r="AY275" s="29" t="s">
        <v>795</v>
      </c>
      <c r="AZ275" s="17" t="s">
        <v>796</v>
      </c>
      <c r="BB275" s="27">
        <f>AV275+AW275</f>
        <v>0</v>
      </c>
      <c r="BC275" s="27">
        <f>G275/(100-BD275)*100</f>
        <v>0</v>
      </c>
      <c r="BD275" s="27">
        <v>0</v>
      </c>
      <c r="BE275" s="27">
        <f>L275</f>
        <v>0</v>
      </c>
      <c r="BG275" s="26">
        <f>F275*AN275</f>
        <v>0</v>
      </c>
      <c r="BH275" s="26">
        <f>F275*AO275</f>
        <v>0</v>
      </c>
      <c r="BI275" s="26">
        <f>F275*G275</f>
        <v>0</v>
      </c>
    </row>
    <row r="276" spans="1:61" ht="12.75" hidden="1">
      <c r="A276" s="24" t="s">
        <v>246</v>
      </c>
      <c r="B276" s="25"/>
      <c r="C276" s="25" t="s">
        <v>492</v>
      </c>
      <c r="D276" s="25" t="s">
        <v>742</v>
      </c>
      <c r="E276" s="25" t="s">
        <v>754</v>
      </c>
      <c r="F276" s="47">
        <v>0</v>
      </c>
      <c r="G276" s="26">
        <f>'Smluvní ceník'!G276</f>
        <v>0</v>
      </c>
      <c r="H276" s="26">
        <f>F276*AN276</f>
        <v>0</v>
      </c>
      <c r="I276" s="26">
        <f>F276*AO276</f>
        <v>0</v>
      </c>
      <c r="J276" s="26">
        <f>F276*G276</f>
        <v>0</v>
      </c>
      <c r="K276" s="26">
        <v>0</v>
      </c>
      <c r="L276" s="26">
        <f>F276*K276</f>
        <v>0</v>
      </c>
      <c r="Y276" s="27">
        <f>IF(AP276="5",BI276,0)</f>
        <v>0</v>
      </c>
      <c r="AA276" s="27">
        <f>IF(AP276="1",BG276,0)</f>
        <v>0</v>
      </c>
      <c r="AB276" s="27">
        <f>IF(AP276="1",BH276,0)</f>
        <v>0</v>
      </c>
      <c r="AC276" s="27">
        <f>IF(AP276="7",BG276,0)</f>
        <v>0</v>
      </c>
      <c r="AD276" s="27">
        <f>IF(AP276="7",BH276,0)</f>
        <v>0</v>
      </c>
      <c r="AE276" s="27">
        <f>IF(AP276="2",BG276,0)</f>
        <v>0</v>
      </c>
      <c r="AF276" s="27">
        <f>IF(AP276="2",BH276,0)</f>
        <v>0</v>
      </c>
      <c r="AG276" s="27">
        <f>IF(AP276="0",BI276,0)</f>
        <v>0</v>
      </c>
      <c r="AH276" s="17"/>
      <c r="AI276" s="26">
        <f>IF(AM276=0,J276,0)</f>
        <v>0</v>
      </c>
      <c r="AJ276" s="26">
        <f>IF(AM276=15,J276,0)</f>
        <v>0</v>
      </c>
      <c r="AK276" s="26">
        <f>IF(AM276=21,J276,0)</f>
        <v>0</v>
      </c>
      <c r="AM276" s="27">
        <v>21</v>
      </c>
      <c r="AN276" s="27">
        <f>G276*0</f>
        <v>0</v>
      </c>
      <c r="AO276" s="27">
        <f>G276*(1-0)</f>
        <v>0</v>
      </c>
      <c r="AP276" s="28" t="s">
        <v>11</v>
      </c>
      <c r="AU276" s="27">
        <f>AV276+AW276</f>
        <v>0</v>
      </c>
      <c r="AV276" s="27">
        <f>F276*AN276</f>
        <v>0</v>
      </c>
      <c r="AW276" s="27">
        <f>F276*AO276</f>
        <v>0</v>
      </c>
      <c r="AX276" s="29" t="s">
        <v>791</v>
      </c>
      <c r="AY276" s="29" t="s">
        <v>795</v>
      </c>
      <c r="AZ276" s="17" t="s">
        <v>796</v>
      </c>
      <c r="BB276" s="27">
        <f>AV276+AW276</f>
        <v>0</v>
      </c>
      <c r="BC276" s="27">
        <f>G276/(100-BD276)*100</f>
        <v>0</v>
      </c>
      <c r="BD276" s="27">
        <v>0</v>
      </c>
      <c r="BE276" s="27">
        <f>L276</f>
        <v>0</v>
      </c>
      <c r="BG276" s="26">
        <f>F276*AN276</f>
        <v>0</v>
      </c>
      <c r="BH276" s="26">
        <f>F276*AO276</f>
        <v>0</v>
      </c>
      <c r="BI276" s="26">
        <f>F276*G276</f>
        <v>0</v>
      </c>
    </row>
    <row r="277" spans="1:61" ht="12.75">
      <c r="A277" s="24" t="s">
        <v>247</v>
      </c>
      <c r="B277" s="25"/>
      <c r="C277" s="25" t="s">
        <v>494</v>
      </c>
      <c r="D277" s="25" t="s">
        <v>744</v>
      </c>
      <c r="E277" s="25" t="s">
        <v>754</v>
      </c>
      <c r="F277" s="47">
        <v>5</v>
      </c>
      <c r="G277" s="26">
        <f>'Smluvní ceník'!G277</f>
        <v>0</v>
      </c>
      <c r="H277" s="26">
        <f>F277*AN277</f>
        <v>0</v>
      </c>
      <c r="I277" s="26">
        <f>F277*AO277</f>
        <v>0</v>
      </c>
      <c r="J277" s="26">
        <f>F277*G277</f>
        <v>0</v>
      </c>
      <c r="K277" s="26">
        <v>0</v>
      </c>
      <c r="L277" s="26">
        <f>F277*K277</f>
        <v>0</v>
      </c>
      <c r="Y277" s="27">
        <f>IF(AP277="5",BI277,0)</f>
        <v>0</v>
      </c>
      <c r="AA277" s="27">
        <f>IF(AP277="1",BG277,0)</f>
        <v>0</v>
      </c>
      <c r="AB277" s="27">
        <f>IF(AP277="1",BH277,0)</f>
        <v>0</v>
      </c>
      <c r="AC277" s="27">
        <f>IF(AP277="7",BG277,0)</f>
        <v>0</v>
      </c>
      <c r="AD277" s="27">
        <f>IF(AP277="7",BH277,0)</f>
        <v>0</v>
      </c>
      <c r="AE277" s="27">
        <f>IF(AP277="2",BG277,0)</f>
        <v>0</v>
      </c>
      <c r="AF277" s="27">
        <f>IF(AP277="2",BH277,0)</f>
        <v>0</v>
      </c>
      <c r="AG277" s="27">
        <f>IF(AP277="0",BI277,0)</f>
        <v>0</v>
      </c>
      <c r="AH277" s="17"/>
      <c r="AI277" s="26">
        <f>IF(AM277=0,J277,0)</f>
        <v>0</v>
      </c>
      <c r="AJ277" s="26">
        <f>IF(AM277=15,J277,0)</f>
        <v>0</v>
      </c>
      <c r="AK277" s="26">
        <f>IF(AM277=21,J277,0)</f>
        <v>0</v>
      </c>
      <c r="AM277" s="27">
        <v>21</v>
      </c>
      <c r="AN277" s="27">
        <f>G277*0</f>
        <v>0</v>
      </c>
      <c r="AO277" s="27">
        <f>G277*(1-0)</f>
        <v>0</v>
      </c>
      <c r="AP277" s="28" t="s">
        <v>11</v>
      </c>
      <c r="AU277" s="27">
        <f>AV277+AW277</f>
        <v>0</v>
      </c>
      <c r="AV277" s="27">
        <f>F277*AN277</f>
        <v>0</v>
      </c>
      <c r="AW277" s="27">
        <f>F277*AO277</f>
        <v>0</v>
      </c>
      <c r="AX277" s="29" t="s">
        <v>791</v>
      </c>
      <c r="AY277" s="29" t="s">
        <v>795</v>
      </c>
      <c r="AZ277" s="17" t="s">
        <v>796</v>
      </c>
      <c r="BB277" s="27">
        <f>AV277+AW277</f>
        <v>0</v>
      </c>
      <c r="BC277" s="27">
        <f>G277/(100-BD277)*100</f>
        <v>0</v>
      </c>
      <c r="BD277" s="27">
        <v>0</v>
      </c>
      <c r="BE277" s="27">
        <f>L277</f>
        <v>0</v>
      </c>
      <c r="BG277" s="26">
        <f>F277*AN277</f>
        <v>0</v>
      </c>
      <c r="BH277" s="26">
        <f>F277*AO277</f>
        <v>0</v>
      </c>
      <c r="BI277" s="26">
        <f>F277*G277</f>
        <v>0</v>
      </c>
    </row>
    <row r="278" spans="1:61" ht="12.75" hidden="1">
      <c r="A278" s="40" t="s">
        <v>248</v>
      </c>
      <c r="B278" s="41"/>
      <c r="C278" s="41" t="s">
        <v>494</v>
      </c>
      <c r="D278" s="41" t="s">
        <v>744</v>
      </c>
      <c r="E278" s="41" t="s">
        <v>754</v>
      </c>
      <c r="F278" s="42">
        <v>0</v>
      </c>
      <c r="G278" s="26">
        <f>'Smluvní ceník'!G278</f>
        <v>0</v>
      </c>
      <c r="H278" s="42">
        <f>F278*AN278</f>
        <v>0</v>
      </c>
      <c r="I278" s="42">
        <f>F278*AO278</f>
        <v>0</v>
      </c>
      <c r="J278" s="42">
        <f>F278*G278</f>
        <v>0</v>
      </c>
      <c r="K278" s="42">
        <v>0</v>
      </c>
      <c r="L278" s="42">
        <f>F278*K278</f>
        <v>0</v>
      </c>
      <c r="Y278" s="27">
        <f>IF(AP278="5",BI278,0)</f>
        <v>0</v>
      </c>
      <c r="AA278" s="27">
        <f>IF(AP278="1",BG278,0)</f>
        <v>0</v>
      </c>
      <c r="AB278" s="27">
        <f>IF(AP278="1",BH278,0)</f>
        <v>0</v>
      </c>
      <c r="AC278" s="27">
        <f>IF(AP278="7",BG278,0)</f>
        <v>0</v>
      </c>
      <c r="AD278" s="27">
        <f>IF(AP278="7",BH278,0)</f>
        <v>0</v>
      </c>
      <c r="AE278" s="27">
        <f>IF(AP278="2",BG278,0)</f>
        <v>0</v>
      </c>
      <c r="AF278" s="27">
        <f>IF(AP278="2",BH278,0)</f>
        <v>0</v>
      </c>
      <c r="AG278" s="27">
        <f>IF(AP278="0",BI278,0)</f>
        <v>0</v>
      </c>
      <c r="AH278" s="17"/>
      <c r="AI278" s="26">
        <f>IF(AM278=0,J278,0)</f>
        <v>0</v>
      </c>
      <c r="AJ278" s="26">
        <f>IF(AM278=15,J278,0)</f>
        <v>0</v>
      </c>
      <c r="AK278" s="26">
        <f>IF(AM278=21,J278,0)</f>
        <v>0</v>
      </c>
      <c r="AM278" s="27">
        <v>21</v>
      </c>
      <c r="AN278" s="27">
        <f>G278*0</f>
        <v>0</v>
      </c>
      <c r="AO278" s="27">
        <f>G278*(1-0)</f>
        <v>0</v>
      </c>
      <c r="AP278" s="28" t="s">
        <v>11</v>
      </c>
      <c r="AU278" s="27">
        <f>AV278+AW278</f>
        <v>0</v>
      </c>
      <c r="AV278" s="27">
        <f>F278*AN278</f>
        <v>0</v>
      </c>
      <c r="AW278" s="27">
        <f>F278*AO278</f>
        <v>0</v>
      </c>
      <c r="AX278" s="29" t="s">
        <v>791</v>
      </c>
      <c r="AY278" s="29" t="s">
        <v>795</v>
      </c>
      <c r="AZ278" s="17" t="s">
        <v>796</v>
      </c>
      <c r="BB278" s="27">
        <f>AV278+AW278</f>
        <v>0</v>
      </c>
      <c r="BC278" s="27">
        <f>G278/(100-BD278)*100</f>
        <v>0</v>
      </c>
      <c r="BD278" s="27">
        <v>0</v>
      </c>
      <c r="BE278" s="27">
        <f>L278</f>
        <v>0</v>
      </c>
      <c r="BG278" s="26">
        <f>F278*AN278</f>
        <v>0</v>
      </c>
      <c r="BH278" s="26">
        <f>F278*AO278</f>
        <v>0</v>
      </c>
      <c r="BI278" s="26">
        <f>F278*G278</f>
        <v>0</v>
      </c>
    </row>
    <row r="279" spans="1:12" ht="12.75">
      <c r="A279" s="43"/>
      <c r="B279" s="44"/>
      <c r="C279" s="44"/>
      <c r="D279" s="44"/>
      <c r="E279" s="44"/>
      <c r="F279" s="44"/>
      <c r="G279" s="44"/>
      <c r="H279" s="115" t="s">
        <v>767</v>
      </c>
      <c r="I279" s="116"/>
      <c r="J279" s="45">
        <f>J12+J14+J29+J138+J174+J241+J264+J269+J274</f>
        <v>0</v>
      </c>
      <c r="K279" s="44"/>
      <c r="L279" s="44"/>
    </row>
    <row r="280" ht="10.5" customHeight="1">
      <c r="A280" s="46" t="s">
        <v>249</v>
      </c>
    </row>
    <row r="281" spans="1:12" ht="12.75" customHeight="1">
      <c r="A281" s="10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</row>
  </sheetData>
  <sheetProtection password="83A5" sheet="1" objects="1" scenarios="1"/>
  <mergeCells count="29">
    <mergeCell ref="H10:J10"/>
    <mergeCell ref="K10:L10"/>
    <mergeCell ref="H279:I279"/>
    <mergeCell ref="A281:L281"/>
    <mergeCell ref="A8:B9"/>
    <mergeCell ref="C8:D9"/>
    <mergeCell ref="E8:F9"/>
    <mergeCell ref="G8:G9"/>
    <mergeCell ref="H8:H9"/>
    <mergeCell ref="I8:L9"/>
    <mergeCell ref="A6:B7"/>
    <mergeCell ref="C6:D7"/>
    <mergeCell ref="E6:F7"/>
    <mergeCell ref="G6:G7"/>
    <mergeCell ref="H6:H7"/>
    <mergeCell ref="I6:L7"/>
    <mergeCell ref="A4:B5"/>
    <mergeCell ref="C4:D5"/>
    <mergeCell ref="E4:F5"/>
    <mergeCell ref="G4:G5"/>
    <mergeCell ref="H4:H5"/>
    <mergeCell ref="I4:L5"/>
    <mergeCell ref="A1:L1"/>
    <mergeCell ref="A2:B3"/>
    <mergeCell ref="C2:D3"/>
    <mergeCell ref="E2:F3"/>
    <mergeCell ref="G2:G3"/>
    <mergeCell ref="H2:H3"/>
    <mergeCell ref="I2:L3"/>
  </mergeCells>
  <printOptions/>
  <pageMargins left="0.3937007874015748" right="0.3937007874015748" top="0.5905511811023623" bottom="0.5905511811023623" header="0.5118110236220472" footer="0.5118110236220472"/>
  <pageSetup fitToHeight="4" fitToWidth="1" horizontalDpi="600" verticalDpi="600" orientation="landscape" paperSize="9" scale="70" r:id="rId1"/>
  <rowBreaks count="2" manualBreakCount="2">
    <brk id="99" max="11" man="1"/>
    <brk id="17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SheetLayoutView="100" zoomScalePageLayoutView="0" workbookViewId="0" topLeftCell="A23">
      <selection activeCell="I40" sqref="I40"/>
    </sheetView>
  </sheetViews>
  <sheetFormatPr defaultColWidth="11.57421875" defaultRowHeight="12.75"/>
  <cols>
    <col min="1" max="1" width="9.140625" style="3" customWidth="1"/>
    <col min="2" max="2" width="12.7109375" style="3" customWidth="1"/>
    <col min="3" max="3" width="22.8515625" style="3" customWidth="1"/>
    <col min="4" max="4" width="10.140625" style="3" customWidth="1"/>
    <col min="5" max="5" width="14.00390625" style="3" customWidth="1"/>
    <col min="6" max="6" width="22.8515625" style="3" customWidth="1"/>
    <col min="7" max="7" width="9.140625" style="3" customWidth="1"/>
    <col min="8" max="8" width="12.7109375" style="3" customWidth="1"/>
    <col min="9" max="9" width="22.8515625" style="3" customWidth="1"/>
    <col min="10" max="16384" width="11.57421875" style="3" customWidth="1"/>
  </cols>
  <sheetData>
    <row r="1" spans="1:9" ht="49.5" customHeight="1">
      <c r="A1" s="157" t="s">
        <v>815</v>
      </c>
      <c r="B1" s="157"/>
      <c r="C1" s="157"/>
      <c r="D1" s="157"/>
      <c r="E1" s="157"/>
      <c r="F1" s="157"/>
      <c r="G1" s="157"/>
      <c r="H1" s="157"/>
      <c r="I1" s="157"/>
    </row>
    <row r="2" spans="1:10" ht="12">
      <c r="A2" s="96" t="s">
        <v>1</v>
      </c>
      <c r="B2" s="97"/>
      <c r="C2" s="130" t="str">
        <f>'Stavební rozpočet - vzorový'!C2</f>
        <v>Oprava oken a dveří v objektu VZ I</v>
      </c>
      <c r="D2" s="116"/>
      <c r="E2" s="104" t="s">
        <v>761</v>
      </c>
      <c r="F2" s="104" t="str">
        <f>'Stavební rozpočet - vzorový'!I2</f>
        <v>Státní tiskárna cenin, s. p.</v>
      </c>
      <c r="G2" s="97"/>
      <c r="H2" s="104" t="s">
        <v>837</v>
      </c>
      <c r="I2" s="132" t="s">
        <v>889</v>
      </c>
      <c r="J2" s="4"/>
    </row>
    <row r="3" spans="1:10" ht="12.75" customHeight="1">
      <c r="A3" s="98"/>
      <c r="B3" s="99"/>
      <c r="C3" s="131"/>
      <c r="D3" s="131"/>
      <c r="E3" s="99"/>
      <c r="F3" s="99"/>
      <c r="G3" s="99"/>
      <c r="H3" s="99"/>
      <c r="I3" s="133"/>
      <c r="J3" s="4"/>
    </row>
    <row r="4" spans="1:10" ht="12">
      <c r="A4" s="108" t="s">
        <v>2</v>
      </c>
      <c r="B4" s="99"/>
      <c r="C4" s="109" t="str">
        <f>'Stavební rozpočet - vzorový'!C4</f>
        <v> </v>
      </c>
      <c r="D4" s="99"/>
      <c r="E4" s="109" t="s">
        <v>762</v>
      </c>
      <c r="F4" s="109" t="str">
        <f>'Stavební rozpočet - vzorový'!I4</f>
        <v> </v>
      </c>
      <c r="G4" s="99"/>
      <c r="H4" s="109" t="s">
        <v>837</v>
      </c>
      <c r="I4" s="134"/>
      <c r="J4" s="4"/>
    </row>
    <row r="5" spans="1:10" ht="12.75" customHeight="1">
      <c r="A5" s="98"/>
      <c r="B5" s="99"/>
      <c r="C5" s="99"/>
      <c r="D5" s="99"/>
      <c r="E5" s="99"/>
      <c r="F5" s="99"/>
      <c r="G5" s="99"/>
      <c r="H5" s="99"/>
      <c r="I5" s="135"/>
      <c r="J5" s="4"/>
    </row>
    <row r="6" spans="1:10" ht="12">
      <c r="A6" s="108" t="s">
        <v>3</v>
      </c>
      <c r="B6" s="99"/>
      <c r="C6" s="109" t="str">
        <f>'Stavební rozpočet - vzorový'!C6</f>
        <v>Růžová 943/6, Nové Město, 110 00 Praha 1</v>
      </c>
      <c r="D6" s="99"/>
      <c r="E6" s="109" t="s">
        <v>763</v>
      </c>
      <c r="F6" s="109" t="str">
        <f>'Stavební rozpočet - vzorový'!I6</f>
        <v>dle výběrového řízení</v>
      </c>
      <c r="G6" s="99"/>
      <c r="H6" s="109" t="s">
        <v>837</v>
      </c>
      <c r="I6" s="134"/>
      <c r="J6" s="4"/>
    </row>
    <row r="7" spans="1:10" ht="12.75" customHeight="1">
      <c r="A7" s="98"/>
      <c r="B7" s="99"/>
      <c r="C7" s="99"/>
      <c r="D7" s="99"/>
      <c r="E7" s="99"/>
      <c r="F7" s="99"/>
      <c r="G7" s="99"/>
      <c r="H7" s="99"/>
      <c r="I7" s="135"/>
      <c r="J7" s="4"/>
    </row>
    <row r="8" spans="1:10" ht="12">
      <c r="A8" s="108" t="s">
        <v>746</v>
      </c>
      <c r="B8" s="99"/>
      <c r="C8" s="109" t="str">
        <f>'Stavební rozpočet - vzorový'!G4</f>
        <v> </v>
      </c>
      <c r="D8" s="99"/>
      <c r="E8" s="109" t="s">
        <v>747</v>
      </c>
      <c r="F8" s="109" t="str">
        <f>'Stavební rozpočet - vzorový'!G6</f>
        <v> </v>
      </c>
      <c r="G8" s="99"/>
      <c r="H8" s="110" t="s">
        <v>838</v>
      </c>
      <c r="I8" s="134" t="s">
        <v>248</v>
      </c>
      <c r="J8" s="4"/>
    </row>
    <row r="9" spans="1:10" ht="12">
      <c r="A9" s="98"/>
      <c r="B9" s="99"/>
      <c r="C9" s="99"/>
      <c r="D9" s="99"/>
      <c r="E9" s="99"/>
      <c r="F9" s="99"/>
      <c r="G9" s="99"/>
      <c r="H9" s="99"/>
      <c r="I9" s="135"/>
      <c r="J9" s="4"/>
    </row>
    <row r="10" spans="1:10" ht="12">
      <c r="A10" s="108" t="s">
        <v>4</v>
      </c>
      <c r="B10" s="99"/>
      <c r="C10" s="109" t="str">
        <f>'Stavební rozpočet - vzorový'!C8</f>
        <v> </v>
      </c>
      <c r="D10" s="99"/>
      <c r="E10" s="109" t="s">
        <v>764</v>
      </c>
      <c r="F10" s="109" t="str">
        <f>'Stavební rozpočet - vzorový'!I8</f>
        <v> </v>
      </c>
      <c r="G10" s="99"/>
      <c r="H10" s="110" t="s">
        <v>839</v>
      </c>
      <c r="I10" s="138" t="str">
        <f>'Stavební rozpočet - vzorový'!G8</f>
        <v>07.02.2024</v>
      </c>
      <c r="J10" s="4"/>
    </row>
    <row r="11" spans="1:10" ht="12">
      <c r="A11" s="136"/>
      <c r="B11" s="137"/>
      <c r="C11" s="137"/>
      <c r="D11" s="137"/>
      <c r="E11" s="137"/>
      <c r="F11" s="137"/>
      <c r="G11" s="137"/>
      <c r="H11" s="137"/>
      <c r="I11" s="139"/>
      <c r="J11" s="4"/>
    </row>
    <row r="12" spans="1:9" ht="18.75" customHeight="1">
      <c r="A12" s="140" t="s">
        <v>800</v>
      </c>
      <c r="B12" s="141"/>
      <c r="C12" s="141"/>
      <c r="D12" s="141"/>
      <c r="E12" s="141"/>
      <c r="F12" s="141"/>
      <c r="G12" s="141"/>
      <c r="H12" s="141"/>
      <c r="I12" s="141"/>
    </row>
    <row r="13" spans="1:10" ht="26.25" customHeight="1">
      <c r="A13" s="50" t="s">
        <v>801</v>
      </c>
      <c r="B13" s="142" t="s">
        <v>813</v>
      </c>
      <c r="C13" s="143"/>
      <c r="D13" s="50" t="s">
        <v>816</v>
      </c>
      <c r="E13" s="142" t="s">
        <v>824</v>
      </c>
      <c r="F13" s="143"/>
      <c r="G13" s="50" t="s">
        <v>825</v>
      </c>
      <c r="H13" s="142" t="s">
        <v>840</v>
      </c>
      <c r="I13" s="143"/>
      <c r="J13" s="4"/>
    </row>
    <row r="14" spans="1:10" ht="12.75" customHeight="1">
      <c r="A14" s="51" t="s">
        <v>802</v>
      </c>
      <c r="B14" s="52" t="s">
        <v>814</v>
      </c>
      <c r="C14" s="53">
        <f>SUM('Stavební rozpočet - vzorový'!AA12:AA278)</f>
        <v>0</v>
      </c>
      <c r="D14" s="144" t="s">
        <v>817</v>
      </c>
      <c r="E14" s="145"/>
      <c r="F14" s="53">
        <f>VORN!I15</f>
        <v>0</v>
      </c>
      <c r="G14" s="144" t="s">
        <v>826</v>
      </c>
      <c r="H14" s="145"/>
      <c r="I14" s="53">
        <f>VORN!I21</f>
        <v>0</v>
      </c>
      <c r="J14" s="4"/>
    </row>
    <row r="15" spans="1:10" ht="12.75" customHeight="1">
      <c r="A15" s="54"/>
      <c r="B15" s="52" t="s">
        <v>770</v>
      </c>
      <c r="C15" s="53">
        <f>SUM('Stavební rozpočet - vzorový'!AB12:AB278)</f>
        <v>0</v>
      </c>
      <c r="D15" s="146" t="s">
        <v>873</v>
      </c>
      <c r="E15" s="145"/>
      <c r="F15" s="53">
        <f>VORN!I16</f>
        <v>0</v>
      </c>
      <c r="G15" s="144" t="s">
        <v>827</v>
      </c>
      <c r="H15" s="145"/>
      <c r="I15" s="53">
        <f>VORN!I22</f>
        <v>0</v>
      </c>
      <c r="J15" s="4"/>
    </row>
    <row r="16" spans="1:10" ht="12.75" customHeight="1">
      <c r="A16" s="51" t="s">
        <v>803</v>
      </c>
      <c r="B16" s="52" t="s">
        <v>814</v>
      </c>
      <c r="C16" s="53">
        <f>SUM('Stavební rozpočet - vzorový'!AC12:AC278)</f>
        <v>0</v>
      </c>
      <c r="D16" s="146" t="s">
        <v>818</v>
      </c>
      <c r="E16" s="145"/>
      <c r="F16" s="53">
        <f>VORN!I17</f>
        <v>0</v>
      </c>
      <c r="G16" s="144" t="s">
        <v>828</v>
      </c>
      <c r="H16" s="145"/>
      <c r="I16" s="53">
        <f>VORN!I23</f>
        <v>0</v>
      </c>
      <c r="J16" s="4"/>
    </row>
    <row r="17" spans="1:10" ht="12.75" customHeight="1">
      <c r="A17" s="54"/>
      <c r="B17" s="52" t="s">
        <v>770</v>
      </c>
      <c r="C17" s="53">
        <f>SUM('Stavební rozpočet - vzorový'!AD12:AD278)</f>
        <v>0</v>
      </c>
      <c r="D17" s="144"/>
      <c r="E17" s="145"/>
      <c r="F17" s="55"/>
      <c r="G17" s="144" t="s">
        <v>817</v>
      </c>
      <c r="H17" s="145"/>
      <c r="I17" s="53">
        <f>VORN!I24</f>
        <v>0</v>
      </c>
      <c r="J17" s="4"/>
    </row>
    <row r="18" spans="1:10" ht="12.75" customHeight="1">
      <c r="A18" s="51" t="s">
        <v>804</v>
      </c>
      <c r="B18" s="52" t="s">
        <v>814</v>
      </c>
      <c r="C18" s="53">
        <f>SUM('Stavební rozpočet - vzorový'!AE12:AE278)</f>
        <v>0</v>
      </c>
      <c r="D18" s="144"/>
      <c r="E18" s="145"/>
      <c r="F18" s="55"/>
      <c r="G18" s="144" t="s">
        <v>818</v>
      </c>
      <c r="H18" s="145"/>
      <c r="I18" s="53">
        <f>VORN!I25</f>
        <v>0</v>
      </c>
      <c r="J18" s="4"/>
    </row>
    <row r="19" spans="1:10" ht="12.75" customHeight="1">
      <c r="A19" s="54"/>
      <c r="B19" s="52" t="s">
        <v>770</v>
      </c>
      <c r="C19" s="53">
        <f>SUM('Stavební rozpočet - vzorový'!AF12:AF278)</f>
        <v>0</v>
      </c>
      <c r="D19" s="144"/>
      <c r="E19" s="145"/>
      <c r="F19" s="55"/>
      <c r="G19" s="144" t="s">
        <v>829</v>
      </c>
      <c r="H19" s="145"/>
      <c r="I19" s="53">
        <f>VORN!I26</f>
        <v>0</v>
      </c>
      <c r="J19" s="4"/>
    </row>
    <row r="20" spans="1:10" ht="12.75" customHeight="1">
      <c r="A20" s="147" t="s">
        <v>805</v>
      </c>
      <c r="B20" s="148"/>
      <c r="C20" s="53">
        <f>SUM('Stavební rozpočet - vzorový'!AG12:AG278)</f>
        <v>0</v>
      </c>
      <c r="D20" s="144"/>
      <c r="E20" s="145"/>
      <c r="F20" s="55"/>
      <c r="G20" s="144"/>
      <c r="H20" s="145"/>
      <c r="I20" s="55"/>
      <c r="J20" s="4"/>
    </row>
    <row r="21" spans="1:10" ht="12.75" customHeight="1">
      <c r="A21" s="147" t="s">
        <v>806</v>
      </c>
      <c r="B21" s="148"/>
      <c r="C21" s="53">
        <f>SUM('Stavební rozpočet - vzorový'!Y12:Y278)</f>
        <v>0</v>
      </c>
      <c r="D21" s="144"/>
      <c r="E21" s="145"/>
      <c r="F21" s="55"/>
      <c r="G21" s="144"/>
      <c r="H21" s="145"/>
      <c r="I21" s="55"/>
      <c r="J21" s="4"/>
    </row>
    <row r="22" spans="1:10" ht="16.5" customHeight="1">
      <c r="A22" s="147" t="s">
        <v>807</v>
      </c>
      <c r="B22" s="148"/>
      <c r="C22" s="53">
        <f>SUM(C14:C21)</f>
        <v>0</v>
      </c>
      <c r="D22" s="147" t="s">
        <v>819</v>
      </c>
      <c r="E22" s="148"/>
      <c r="F22" s="53">
        <f>SUM(F14:F21)</f>
        <v>0</v>
      </c>
      <c r="G22" s="147" t="s">
        <v>830</v>
      </c>
      <c r="H22" s="148"/>
      <c r="I22" s="53">
        <f>SUM(I14:I21)</f>
        <v>0</v>
      </c>
      <c r="J22" s="4"/>
    </row>
    <row r="23" spans="1:10" ht="12.75" customHeight="1">
      <c r="A23" s="44"/>
      <c r="B23" s="44"/>
      <c r="C23" s="56"/>
      <c r="D23" s="147" t="s">
        <v>820</v>
      </c>
      <c r="E23" s="148"/>
      <c r="F23" s="53">
        <v>0</v>
      </c>
      <c r="G23" s="147" t="s">
        <v>831</v>
      </c>
      <c r="H23" s="148"/>
      <c r="I23" s="53">
        <v>0</v>
      </c>
      <c r="J23" s="4"/>
    </row>
    <row r="24" spans="4:10" ht="12.75" customHeight="1">
      <c r="D24" s="44"/>
      <c r="E24" s="44"/>
      <c r="F24" s="57"/>
      <c r="G24" s="147" t="s">
        <v>832</v>
      </c>
      <c r="H24" s="148"/>
      <c r="I24" s="53">
        <f>vorn_sum</f>
        <v>0</v>
      </c>
      <c r="J24" s="4"/>
    </row>
    <row r="25" spans="6:10" ht="12.75" customHeight="1">
      <c r="F25" s="57"/>
      <c r="G25" s="147" t="s">
        <v>833</v>
      </c>
      <c r="H25" s="148"/>
      <c r="I25" s="53">
        <v>0</v>
      </c>
      <c r="J25" s="4"/>
    </row>
    <row r="26" spans="1:9" ht="12">
      <c r="A26" s="58"/>
      <c r="B26" s="58"/>
      <c r="C26" s="58"/>
      <c r="G26" s="44"/>
      <c r="H26" s="44"/>
      <c r="I26" s="44"/>
    </row>
    <row r="27" spans="1:9" ht="12.75" customHeight="1">
      <c r="A27" s="149" t="s">
        <v>808</v>
      </c>
      <c r="B27" s="150"/>
      <c r="C27" s="59">
        <f>SUM('Stavební rozpočet - vzorový'!AI12:AI278)</f>
        <v>0</v>
      </c>
      <c r="D27" s="60"/>
      <c r="E27" s="58"/>
      <c r="F27" s="58"/>
      <c r="G27" s="58"/>
      <c r="H27" s="58"/>
      <c r="I27" s="58"/>
    </row>
    <row r="28" spans="1:10" ht="12.75" customHeight="1">
      <c r="A28" s="149" t="s">
        <v>809</v>
      </c>
      <c r="B28" s="150"/>
      <c r="C28" s="59">
        <f>SUM('Stavební rozpočet - vzorový'!AJ12:AJ278)</f>
        <v>0</v>
      </c>
      <c r="D28" s="149" t="s">
        <v>821</v>
      </c>
      <c r="E28" s="150"/>
      <c r="F28" s="59">
        <f>ROUND(C28*(15/100),2)</f>
        <v>0</v>
      </c>
      <c r="G28" s="149" t="s">
        <v>834</v>
      </c>
      <c r="H28" s="150"/>
      <c r="I28" s="59">
        <f>SUM(C27:C29)</f>
        <v>0</v>
      </c>
      <c r="J28" s="4"/>
    </row>
    <row r="29" spans="1:10" ht="12.75" customHeight="1">
      <c r="A29" s="149" t="s">
        <v>810</v>
      </c>
      <c r="B29" s="150"/>
      <c r="C29" s="59">
        <f>SUM('Stavební rozpočet - vzorový'!AK12:AK278)+(F22+I22+F23+I23+I24+I25)</f>
        <v>0</v>
      </c>
      <c r="D29" s="149" t="s">
        <v>822</v>
      </c>
      <c r="E29" s="150"/>
      <c r="F29" s="59">
        <f>ROUND(C29*(21/100),2)</f>
        <v>0</v>
      </c>
      <c r="G29" s="149" t="s">
        <v>835</v>
      </c>
      <c r="H29" s="150"/>
      <c r="I29" s="59">
        <f>SUM(F28:F29)+I28</f>
        <v>0</v>
      </c>
      <c r="J29" s="4"/>
    </row>
    <row r="30" spans="1:9" ht="12">
      <c r="A30" s="61"/>
      <c r="B30" s="61"/>
      <c r="C30" s="61"/>
      <c r="D30" s="61"/>
      <c r="E30" s="61"/>
      <c r="F30" s="61"/>
      <c r="G30" s="61"/>
      <c r="H30" s="61"/>
      <c r="I30" s="61"/>
    </row>
    <row r="31" spans="1:10" ht="12.75" customHeight="1">
      <c r="A31" s="154" t="s">
        <v>811</v>
      </c>
      <c r="B31" s="155"/>
      <c r="C31" s="156"/>
      <c r="D31" s="154" t="s">
        <v>823</v>
      </c>
      <c r="E31" s="155"/>
      <c r="F31" s="156"/>
      <c r="G31" s="154" t="s">
        <v>836</v>
      </c>
      <c r="H31" s="155"/>
      <c r="I31" s="156"/>
      <c r="J31" s="9"/>
    </row>
    <row r="32" spans="1:10" ht="12.75" customHeight="1">
      <c r="A32" s="151"/>
      <c r="B32" s="152"/>
      <c r="C32" s="153"/>
      <c r="D32" s="151"/>
      <c r="E32" s="152"/>
      <c r="F32" s="153"/>
      <c r="G32" s="151"/>
      <c r="H32" s="152"/>
      <c r="I32" s="153"/>
      <c r="J32" s="9"/>
    </row>
    <row r="33" spans="1:10" ht="12.75" customHeight="1">
      <c r="A33" s="151"/>
      <c r="B33" s="152"/>
      <c r="C33" s="153"/>
      <c r="D33" s="151"/>
      <c r="E33" s="152"/>
      <c r="F33" s="153"/>
      <c r="G33" s="151"/>
      <c r="H33" s="152"/>
      <c r="I33" s="153"/>
      <c r="J33" s="9"/>
    </row>
    <row r="34" spans="1:10" ht="12.75" customHeight="1">
      <c r="A34" s="151"/>
      <c r="B34" s="152"/>
      <c r="C34" s="153"/>
      <c r="D34" s="151"/>
      <c r="E34" s="152"/>
      <c r="F34" s="153"/>
      <c r="G34" s="151"/>
      <c r="H34" s="152"/>
      <c r="I34" s="153"/>
      <c r="J34" s="9"/>
    </row>
    <row r="35" spans="1:10" ht="12.75" customHeight="1">
      <c r="A35" s="158" t="s">
        <v>812</v>
      </c>
      <c r="B35" s="159"/>
      <c r="C35" s="160"/>
      <c r="D35" s="158" t="s">
        <v>812</v>
      </c>
      <c r="E35" s="159"/>
      <c r="F35" s="160"/>
      <c r="G35" s="158" t="s">
        <v>812</v>
      </c>
      <c r="H35" s="159"/>
      <c r="I35" s="160"/>
      <c r="J35" s="9"/>
    </row>
    <row r="36" spans="1:9" ht="10.5" customHeight="1">
      <c r="A36" s="62" t="s">
        <v>249</v>
      </c>
      <c r="B36" s="63"/>
      <c r="C36" s="63"/>
      <c r="D36" s="63"/>
      <c r="E36" s="63"/>
      <c r="F36" s="63"/>
      <c r="G36" s="63"/>
      <c r="H36" s="63"/>
      <c r="I36" s="63"/>
    </row>
    <row r="37" spans="1:9" ht="12.75" customHeight="1">
      <c r="A37" s="109"/>
      <c r="B37" s="99"/>
      <c r="C37" s="99"/>
      <c r="D37" s="99"/>
      <c r="E37" s="99"/>
      <c r="F37" s="99"/>
      <c r="G37" s="99"/>
      <c r="H37" s="99"/>
      <c r="I37" s="99"/>
    </row>
  </sheetData>
  <sheetProtection password="83A5" sheet="1" objects="1" scenarios="1"/>
  <mergeCells count="83">
    <mergeCell ref="A37:I37"/>
    <mergeCell ref="A1:I1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SheetLayoutView="100" zoomScalePageLayoutView="0" workbookViewId="0" topLeftCell="A1">
      <selection activeCell="J7" sqref="J7"/>
    </sheetView>
  </sheetViews>
  <sheetFormatPr defaultColWidth="11.57421875" defaultRowHeight="12.75"/>
  <cols>
    <col min="1" max="1" width="9.140625" style="3" customWidth="1"/>
    <col min="2" max="2" width="12.7109375" style="3" customWidth="1"/>
    <col min="3" max="3" width="22.8515625" style="3" customWidth="1"/>
    <col min="4" max="4" width="10.140625" style="3" customWidth="1"/>
    <col min="5" max="5" width="14.00390625" style="3" customWidth="1"/>
    <col min="6" max="6" width="22.8515625" style="3" customWidth="1"/>
    <col min="7" max="7" width="9.140625" style="3" customWidth="1"/>
    <col min="8" max="8" width="17.140625" style="3" customWidth="1"/>
    <col min="9" max="9" width="22.8515625" style="3" customWidth="1"/>
    <col min="10" max="16384" width="11.57421875" style="3" customWidth="1"/>
  </cols>
  <sheetData>
    <row r="1" spans="1:9" ht="49.5" customHeight="1">
      <c r="A1" s="157" t="s">
        <v>849</v>
      </c>
      <c r="B1" s="157"/>
      <c r="C1" s="157"/>
      <c r="D1" s="157"/>
      <c r="E1" s="157"/>
      <c r="F1" s="157"/>
      <c r="G1" s="157"/>
      <c r="H1" s="157"/>
      <c r="I1" s="157"/>
    </row>
    <row r="2" spans="1:10" ht="12">
      <c r="A2" s="96" t="s">
        <v>1</v>
      </c>
      <c r="B2" s="97"/>
      <c r="C2" s="130" t="str">
        <f>'Stavební rozpočet - vzorový'!C2</f>
        <v>Oprava oken a dveří v objektu VZ I</v>
      </c>
      <c r="D2" s="116"/>
      <c r="E2" s="104" t="s">
        <v>761</v>
      </c>
      <c r="F2" s="104" t="str">
        <f>'Stavební rozpočet - vzorový'!I2</f>
        <v>Státní tiskárna cenin, s. p.</v>
      </c>
      <c r="G2" s="97"/>
      <c r="H2" s="104" t="s">
        <v>837</v>
      </c>
      <c r="I2" s="161" t="s">
        <v>889</v>
      </c>
      <c r="J2" s="4"/>
    </row>
    <row r="3" spans="1:10" ht="12.75" customHeight="1">
      <c r="A3" s="98"/>
      <c r="B3" s="99"/>
      <c r="C3" s="131"/>
      <c r="D3" s="131"/>
      <c r="E3" s="99"/>
      <c r="F3" s="99"/>
      <c r="G3" s="99"/>
      <c r="H3" s="99"/>
      <c r="I3" s="162"/>
      <c r="J3" s="4"/>
    </row>
    <row r="4" spans="1:10" ht="12">
      <c r="A4" s="108" t="s">
        <v>2</v>
      </c>
      <c r="B4" s="99"/>
      <c r="C4" s="109" t="str">
        <f>'Stavební rozpočet - vzorový'!C4</f>
        <v> </v>
      </c>
      <c r="D4" s="99"/>
      <c r="E4" s="109" t="s">
        <v>762</v>
      </c>
      <c r="F4" s="109" t="str">
        <f>'Stavební rozpočet - vzorový'!I4</f>
        <v> </v>
      </c>
      <c r="G4" s="99"/>
      <c r="H4" s="109" t="s">
        <v>837</v>
      </c>
      <c r="I4" s="134"/>
      <c r="J4" s="4"/>
    </row>
    <row r="5" spans="1:10" ht="12.75" customHeight="1">
      <c r="A5" s="98"/>
      <c r="B5" s="99"/>
      <c r="C5" s="99"/>
      <c r="D5" s="99"/>
      <c r="E5" s="99"/>
      <c r="F5" s="99"/>
      <c r="G5" s="99"/>
      <c r="H5" s="99"/>
      <c r="I5" s="135"/>
      <c r="J5" s="4"/>
    </row>
    <row r="6" spans="1:10" ht="12">
      <c r="A6" s="108" t="s">
        <v>3</v>
      </c>
      <c r="B6" s="99"/>
      <c r="C6" s="109" t="str">
        <f>'Stavební rozpočet - vzorový'!C6</f>
        <v>Růžová 943/6, Nové Město, 110 00 Praha 1</v>
      </c>
      <c r="D6" s="99"/>
      <c r="E6" s="109" t="s">
        <v>763</v>
      </c>
      <c r="F6" s="109" t="str">
        <f>'Stavební rozpočet - vzorový'!I6</f>
        <v>dle výběrového řízení</v>
      </c>
      <c r="G6" s="99"/>
      <c r="H6" s="109" t="s">
        <v>837</v>
      </c>
      <c r="I6" s="134"/>
      <c r="J6" s="4"/>
    </row>
    <row r="7" spans="1:10" ht="12.75" customHeight="1">
      <c r="A7" s="98"/>
      <c r="B7" s="99"/>
      <c r="C7" s="99"/>
      <c r="D7" s="99"/>
      <c r="E7" s="99"/>
      <c r="F7" s="99"/>
      <c r="G7" s="99"/>
      <c r="H7" s="99"/>
      <c r="I7" s="135"/>
      <c r="J7" s="4"/>
    </row>
    <row r="8" spans="1:10" ht="12">
      <c r="A8" s="108" t="s">
        <v>746</v>
      </c>
      <c r="B8" s="99"/>
      <c r="C8" s="109" t="str">
        <f>'Stavební rozpočet - vzorový'!G4</f>
        <v> </v>
      </c>
      <c r="D8" s="99"/>
      <c r="E8" s="109" t="s">
        <v>747</v>
      </c>
      <c r="F8" s="109" t="str">
        <f>'Stavební rozpočet - vzorový'!G6</f>
        <v> </v>
      </c>
      <c r="G8" s="99"/>
      <c r="H8" s="110" t="s">
        <v>838</v>
      </c>
      <c r="I8" s="134" t="s">
        <v>248</v>
      </c>
      <c r="J8" s="4"/>
    </row>
    <row r="9" spans="1:10" ht="12">
      <c r="A9" s="98"/>
      <c r="B9" s="99"/>
      <c r="C9" s="99"/>
      <c r="D9" s="99"/>
      <c r="E9" s="99"/>
      <c r="F9" s="99"/>
      <c r="G9" s="99"/>
      <c r="H9" s="99"/>
      <c r="I9" s="135"/>
      <c r="J9" s="4"/>
    </row>
    <row r="10" spans="1:10" ht="12">
      <c r="A10" s="108" t="s">
        <v>4</v>
      </c>
      <c r="B10" s="99"/>
      <c r="C10" s="109" t="str">
        <f>'Stavební rozpočet - vzorový'!C8</f>
        <v> </v>
      </c>
      <c r="D10" s="99"/>
      <c r="E10" s="109" t="s">
        <v>764</v>
      </c>
      <c r="F10" s="109" t="str">
        <f>'Stavební rozpočet - vzorový'!I8</f>
        <v> </v>
      </c>
      <c r="G10" s="99"/>
      <c r="H10" s="110" t="s">
        <v>839</v>
      </c>
      <c r="I10" s="138" t="str">
        <f>'Stavební rozpočet - vzorový'!G8</f>
        <v>07.02.2024</v>
      </c>
      <c r="J10" s="4"/>
    </row>
    <row r="11" spans="1:10" ht="12">
      <c r="A11" s="136"/>
      <c r="B11" s="137"/>
      <c r="C11" s="137"/>
      <c r="D11" s="137"/>
      <c r="E11" s="137"/>
      <c r="F11" s="137"/>
      <c r="G11" s="137"/>
      <c r="H11" s="137"/>
      <c r="I11" s="139"/>
      <c r="J11" s="4"/>
    </row>
    <row r="12" spans="1:9" ht="12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12.75" customHeight="1">
      <c r="A13" s="169" t="s">
        <v>841</v>
      </c>
      <c r="B13" s="170"/>
      <c r="C13" s="170"/>
      <c r="D13" s="170"/>
      <c r="E13" s="170"/>
      <c r="F13" s="64"/>
      <c r="G13" s="64"/>
      <c r="H13" s="64"/>
      <c r="I13" s="64"/>
    </row>
    <row r="14" spans="1:10" ht="12.75">
      <c r="A14" s="171" t="s">
        <v>842</v>
      </c>
      <c r="B14" s="172"/>
      <c r="C14" s="172"/>
      <c r="D14" s="172"/>
      <c r="E14" s="173"/>
      <c r="F14" s="65" t="s">
        <v>850</v>
      </c>
      <c r="G14" s="65" t="s">
        <v>752</v>
      </c>
      <c r="H14" s="65" t="s">
        <v>851</v>
      </c>
      <c r="I14" s="65" t="s">
        <v>850</v>
      </c>
      <c r="J14" s="9"/>
    </row>
    <row r="15" spans="1:10" ht="12">
      <c r="A15" s="166" t="s">
        <v>817</v>
      </c>
      <c r="B15" s="167"/>
      <c r="C15" s="167"/>
      <c r="D15" s="167"/>
      <c r="E15" s="168"/>
      <c r="F15" s="66"/>
      <c r="G15" s="91">
        <v>0</v>
      </c>
      <c r="H15" s="67">
        <f>'Krycí list rozpočtu'!C22</f>
        <v>0</v>
      </c>
      <c r="I15" s="67">
        <f>(G15/100)*H15</f>
        <v>0</v>
      </c>
      <c r="J15" s="4"/>
    </row>
    <row r="16" spans="1:10" ht="12">
      <c r="A16" s="174" t="s">
        <v>873</v>
      </c>
      <c r="B16" s="167"/>
      <c r="C16" s="167"/>
      <c r="D16" s="167"/>
      <c r="E16" s="168"/>
      <c r="F16" s="66"/>
      <c r="G16" s="91">
        <v>0</v>
      </c>
      <c r="H16" s="67">
        <f>'Krycí list rozpočtu'!C22</f>
        <v>0</v>
      </c>
      <c r="I16" s="67">
        <f>(G16/100)*H16</f>
        <v>0</v>
      </c>
      <c r="J16" s="4"/>
    </row>
    <row r="17" spans="1:10" ht="12">
      <c r="A17" s="175" t="s">
        <v>818</v>
      </c>
      <c r="B17" s="176"/>
      <c r="C17" s="176"/>
      <c r="D17" s="176"/>
      <c r="E17" s="177"/>
      <c r="F17" s="68"/>
      <c r="G17" s="92">
        <v>0</v>
      </c>
      <c r="H17" s="69">
        <f>'Krycí list rozpočtu'!C22</f>
        <v>0</v>
      </c>
      <c r="I17" s="69">
        <f>(G17/100)*H17</f>
        <v>0</v>
      </c>
      <c r="J17" s="4"/>
    </row>
    <row r="18" spans="1:10" ht="12.75">
      <c r="A18" s="163" t="s">
        <v>843</v>
      </c>
      <c r="B18" s="164"/>
      <c r="C18" s="164"/>
      <c r="D18" s="164"/>
      <c r="E18" s="165"/>
      <c r="F18" s="70"/>
      <c r="G18" s="71"/>
      <c r="H18" s="71"/>
      <c r="I18" s="72">
        <f>SUM(I15:I17)</f>
        <v>0</v>
      </c>
      <c r="J18" s="9"/>
    </row>
    <row r="19" spans="1:9" ht="12">
      <c r="A19" s="73"/>
      <c r="B19" s="73"/>
      <c r="C19" s="73"/>
      <c r="D19" s="73"/>
      <c r="E19" s="73"/>
      <c r="F19" s="73"/>
      <c r="G19" s="73"/>
      <c r="H19" s="73"/>
      <c r="I19" s="73"/>
    </row>
    <row r="20" spans="1:10" ht="12.75">
      <c r="A20" s="171" t="s">
        <v>840</v>
      </c>
      <c r="B20" s="172"/>
      <c r="C20" s="172"/>
      <c r="D20" s="172"/>
      <c r="E20" s="173"/>
      <c r="F20" s="65" t="s">
        <v>850</v>
      </c>
      <c r="G20" s="65" t="s">
        <v>752</v>
      </c>
      <c r="H20" s="65" t="s">
        <v>851</v>
      </c>
      <c r="I20" s="65" t="s">
        <v>850</v>
      </c>
      <c r="J20" s="9"/>
    </row>
    <row r="21" spans="1:10" ht="12">
      <c r="A21" s="166" t="s">
        <v>826</v>
      </c>
      <c r="B21" s="167"/>
      <c r="C21" s="167"/>
      <c r="D21" s="167"/>
      <c r="E21" s="168"/>
      <c r="F21" s="66"/>
      <c r="G21" s="91">
        <v>0</v>
      </c>
      <c r="H21" s="67">
        <f>'Krycí list rozpočtu'!C22</f>
        <v>0</v>
      </c>
      <c r="I21" s="67">
        <f>(G21/100)*H21</f>
        <v>0</v>
      </c>
      <c r="J21" s="4"/>
    </row>
    <row r="22" spans="1:10" ht="12">
      <c r="A22" s="166" t="s">
        <v>827</v>
      </c>
      <c r="B22" s="167"/>
      <c r="C22" s="167"/>
      <c r="D22" s="167"/>
      <c r="E22" s="168"/>
      <c r="F22" s="91">
        <v>0</v>
      </c>
      <c r="G22" s="66"/>
      <c r="H22" s="66"/>
      <c r="I22" s="67">
        <f>F22</f>
        <v>0</v>
      </c>
      <c r="J22" s="4"/>
    </row>
    <row r="23" spans="1:10" ht="12">
      <c r="A23" s="166" t="s">
        <v>828</v>
      </c>
      <c r="B23" s="167"/>
      <c r="C23" s="167"/>
      <c r="D23" s="167"/>
      <c r="E23" s="168"/>
      <c r="F23" s="91">
        <v>0</v>
      </c>
      <c r="G23" s="66"/>
      <c r="H23" s="66"/>
      <c r="I23" s="67">
        <f>F23</f>
        <v>0</v>
      </c>
      <c r="J23" s="4"/>
    </row>
    <row r="24" spans="1:10" ht="12">
      <c r="A24" s="166" t="s">
        <v>817</v>
      </c>
      <c r="B24" s="167"/>
      <c r="C24" s="167"/>
      <c r="D24" s="167"/>
      <c r="E24" s="168"/>
      <c r="F24" s="91">
        <v>0</v>
      </c>
      <c r="G24" s="66"/>
      <c r="H24" s="66"/>
      <c r="I24" s="67">
        <f>F24</f>
        <v>0</v>
      </c>
      <c r="J24" s="4"/>
    </row>
    <row r="25" spans="1:10" ht="12">
      <c r="A25" s="166" t="s">
        <v>818</v>
      </c>
      <c r="B25" s="167"/>
      <c r="C25" s="167"/>
      <c r="D25" s="167"/>
      <c r="E25" s="168"/>
      <c r="F25" s="91">
        <v>0</v>
      </c>
      <c r="G25" s="66"/>
      <c r="H25" s="66"/>
      <c r="I25" s="67">
        <f>F25</f>
        <v>0</v>
      </c>
      <c r="J25" s="4"/>
    </row>
    <row r="26" spans="1:10" ht="12">
      <c r="A26" s="175" t="s">
        <v>829</v>
      </c>
      <c r="B26" s="176"/>
      <c r="C26" s="176"/>
      <c r="D26" s="176"/>
      <c r="E26" s="177"/>
      <c r="F26" s="92">
        <v>0</v>
      </c>
      <c r="G26" s="68"/>
      <c r="H26" s="68"/>
      <c r="I26" s="69">
        <f>F26</f>
        <v>0</v>
      </c>
      <c r="J26" s="4"/>
    </row>
    <row r="27" spans="1:10" ht="12.75">
      <c r="A27" s="163" t="s">
        <v>844</v>
      </c>
      <c r="B27" s="164"/>
      <c r="C27" s="164"/>
      <c r="D27" s="164"/>
      <c r="E27" s="165"/>
      <c r="F27" s="70"/>
      <c r="G27" s="71"/>
      <c r="H27" s="71"/>
      <c r="I27" s="72">
        <f>SUM(I21:I26)</f>
        <v>0</v>
      </c>
      <c r="J27" s="9"/>
    </row>
    <row r="28" spans="1:9" ht="12">
      <c r="A28" s="73"/>
      <c r="B28" s="73"/>
      <c r="C28" s="73"/>
      <c r="D28" s="73"/>
      <c r="E28" s="73"/>
      <c r="F28" s="73"/>
      <c r="G28" s="73"/>
      <c r="H28" s="73"/>
      <c r="I28" s="73"/>
    </row>
    <row r="29" spans="1:10" ht="12.75" customHeight="1">
      <c r="A29" s="178" t="s">
        <v>845</v>
      </c>
      <c r="B29" s="179"/>
      <c r="C29" s="179"/>
      <c r="D29" s="179"/>
      <c r="E29" s="180"/>
      <c r="F29" s="181">
        <f>I18+I27</f>
        <v>0</v>
      </c>
      <c r="G29" s="182"/>
      <c r="H29" s="182"/>
      <c r="I29" s="183"/>
      <c r="J29" s="9"/>
    </row>
    <row r="30" spans="1:9" ht="12">
      <c r="A30" s="63"/>
      <c r="B30" s="63"/>
      <c r="C30" s="63"/>
      <c r="D30" s="63"/>
      <c r="E30" s="63"/>
      <c r="F30" s="63"/>
      <c r="G30" s="63"/>
      <c r="H30" s="63"/>
      <c r="I30" s="63"/>
    </row>
    <row r="33" spans="1:9" ht="12.75" customHeight="1">
      <c r="A33" s="169" t="s">
        <v>846</v>
      </c>
      <c r="B33" s="170"/>
      <c r="C33" s="170"/>
      <c r="D33" s="170"/>
      <c r="E33" s="170"/>
      <c r="F33" s="64"/>
      <c r="G33" s="64"/>
      <c r="H33" s="64"/>
      <c r="I33" s="64"/>
    </row>
    <row r="34" spans="1:10" ht="12.75">
      <c r="A34" s="171" t="s">
        <v>847</v>
      </c>
      <c r="B34" s="172"/>
      <c r="C34" s="172"/>
      <c r="D34" s="172"/>
      <c r="E34" s="173"/>
      <c r="F34" s="65" t="s">
        <v>850</v>
      </c>
      <c r="G34" s="65" t="s">
        <v>752</v>
      </c>
      <c r="H34" s="65" t="s">
        <v>851</v>
      </c>
      <c r="I34" s="65" t="s">
        <v>850</v>
      </c>
      <c r="J34" s="9"/>
    </row>
    <row r="35" spans="1:10" ht="12">
      <c r="A35" s="175"/>
      <c r="B35" s="176"/>
      <c r="C35" s="176"/>
      <c r="D35" s="176"/>
      <c r="E35" s="177"/>
      <c r="F35" s="92">
        <v>0</v>
      </c>
      <c r="G35" s="68"/>
      <c r="H35" s="68"/>
      <c r="I35" s="69">
        <f>F35</f>
        <v>0</v>
      </c>
      <c r="J35" s="4"/>
    </row>
    <row r="36" spans="1:10" ht="12.75">
      <c r="A36" s="163" t="s">
        <v>848</v>
      </c>
      <c r="B36" s="164"/>
      <c r="C36" s="164"/>
      <c r="D36" s="164"/>
      <c r="E36" s="165"/>
      <c r="F36" s="70"/>
      <c r="G36" s="71"/>
      <c r="H36" s="71"/>
      <c r="I36" s="72">
        <f>SUM(I35:I35)</f>
        <v>0</v>
      </c>
      <c r="J36" s="9"/>
    </row>
    <row r="37" spans="1:9" ht="12">
      <c r="A37" s="63"/>
      <c r="B37" s="63"/>
      <c r="C37" s="63"/>
      <c r="D37" s="63"/>
      <c r="E37" s="63"/>
      <c r="F37" s="63"/>
      <c r="G37" s="63"/>
      <c r="H37" s="63"/>
      <c r="I37" s="63"/>
    </row>
  </sheetData>
  <sheetProtection password="83A5" sheet="1" objects="1" scenarios="1"/>
  <mergeCells count="51">
    <mergeCell ref="A35:E35"/>
    <mergeCell ref="A36:E36"/>
    <mergeCell ref="A1:I1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Řeháčková Monika</dc:creator>
  <cp:keywords/>
  <dc:description/>
  <cp:lastModifiedBy>Řeháčková Monika</cp:lastModifiedBy>
  <cp:lastPrinted>2024-02-08T09:37:39Z</cp:lastPrinted>
  <dcterms:created xsi:type="dcterms:W3CDTF">2019-07-16T10:41:46Z</dcterms:created>
  <dcterms:modified xsi:type="dcterms:W3CDTF">2024-02-22T08:16:53Z</dcterms:modified>
  <cp:category/>
  <cp:version/>
  <cp:contentType/>
  <cp:contentStatus/>
</cp:coreProperties>
</file>